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80" yWindow="32767" windowWidth="29040" windowHeight="15840" activeTab="0"/>
  </bookViews>
  <sheets>
    <sheet name="2000-2019 Cash Receipts" sheetId="1" r:id="rId1"/>
  </sheets>
  <definedNames>
    <definedName name="_xlnm.Print_Area" localSheetId="0">'2000-2019 Cash Receipts'!$A$1:$V$79</definedName>
  </definedNames>
  <calcPr fullCalcOnLoad="1"/>
</workbook>
</file>

<file path=xl/sharedStrings.xml><?xml version="1.0" encoding="utf-8"?>
<sst xmlns="http://schemas.openxmlformats.org/spreadsheetml/2006/main" count="67" uniqueCount="58">
  <si>
    <t>Cash Received by Gavi</t>
  </si>
  <si>
    <t>in US$ millions</t>
  </si>
  <si>
    <t>Total</t>
  </si>
  <si>
    <t>Australia</t>
  </si>
  <si>
    <t>Canada</t>
  </si>
  <si>
    <t>China</t>
  </si>
  <si>
    <t>Denmark</t>
  </si>
  <si>
    <t>European Commission (EC)</t>
  </si>
  <si>
    <t>France</t>
  </si>
  <si>
    <t>Germany</t>
  </si>
  <si>
    <t>Iceland</t>
  </si>
  <si>
    <t>India</t>
  </si>
  <si>
    <t>Ireland</t>
  </si>
  <si>
    <t>Italy</t>
  </si>
  <si>
    <t>Japan</t>
  </si>
  <si>
    <t>Luxembourg</t>
  </si>
  <si>
    <t>Monaco</t>
  </si>
  <si>
    <t>Netherlands</t>
  </si>
  <si>
    <t xml:space="preserve">Norway </t>
  </si>
  <si>
    <t>Oman</t>
  </si>
  <si>
    <t>Qatar</t>
  </si>
  <si>
    <t>Republic of Korea</t>
  </si>
  <si>
    <t>Saudi Arabia</t>
  </si>
  <si>
    <t>Spain</t>
  </si>
  <si>
    <t xml:space="preserve">Sweden </t>
  </si>
  <si>
    <t>Switzerland</t>
  </si>
  <si>
    <t>United Kingdom</t>
  </si>
  <si>
    <t>United States</t>
  </si>
  <si>
    <t>Donor Governments and EC</t>
  </si>
  <si>
    <t>Alwaleed Philanthropies</t>
  </si>
  <si>
    <t>Bill &amp; Melinda Gates Foundation</t>
  </si>
  <si>
    <t>China Merchants Charitable Foundation</t>
  </si>
  <si>
    <t>Comic Relief</t>
  </si>
  <si>
    <t>ELMA Vaccines and Immunization Foundation</t>
  </si>
  <si>
    <t>His Highness Sheikh Mohammed bin Zayed Al Nahyan</t>
  </si>
  <si>
    <t>IFPW</t>
  </si>
  <si>
    <t>"la Caixa" Foundation</t>
  </si>
  <si>
    <t>LDS Charities</t>
  </si>
  <si>
    <t>Lions Club International (LCIF)</t>
  </si>
  <si>
    <t>The Children’s Investment Fund Foundation (UK)</t>
  </si>
  <si>
    <t>OPEC Fund for International Development (OFID)</t>
  </si>
  <si>
    <t>Reckitt Benckiser Group</t>
  </si>
  <si>
    <t>Red Nose Day Fund</t>
  </si>
  <si>
    <r>
      <t>Unilever</t>
    </r>
    <r>
      <rPr>
        <vertAlign val="superscript"/>
        <sz val="10"/>
        <rFont val="Arial"/>
        <family val="2"/>
      </rPr>
      <t>1</t>
    </r>
  </si>
  <si>
    <r>
      <t>Other private</t>
    </r>
    <r>
      <rPr>
        <vertAlign val="superscript"/>
        <sz val="10"/>
        <rFont val="Arial"/>
        <family val="2"/>
      </rPr>
      <t>2</t>
    </r>
  </si>
  <si>
    <t>Private Contributions</t>
  </si>
  <si>
    <t>Sub-total</t>
  </si>
  <si>
    <r>
      <t>IFFIm Proceeds</t>
    </r>
    <r>
      <rPr>
        <b/>
        <vertAlign val="superscript"/>
        <sz val="10"/>
        <rFont val="Arial"/>
        <family val="2"/>
      </rPr>
      <t>3</t>
    </r>
  </si>
  <si>
    <r>
      <t>AMC Proceeds</t>
    </r>
    <r>
      <rPr>
        <b/>
        <vertAlign val="superscript"/>
        <sz val="10"/>
        <rFont val="Arial"/>
        <family val="2"/>
      </rPr>
      <t>4</t>
    </r>
  </si>
  <si>
    <t>Total contributions</t>
  </si>
  <si>
    <t>1 - Unilever provides resources to Gavi on a leveraged partnership project</t>
  </si>
  <si>
    <t>4 - AMC Proceeds: cash transfers from the World Bank to Gavi</t>
  </si>
  <si>
    <r>
      <t xml:space="preserve">Cash Received by Gavi </t>
    </r>
    <r>
      <rPr>
        <b/>
        <sz val="14"/>
        <color indexed="8"/>
        <rFont val="Calibri"/>
        <family val="2"/>
      </rPr>
      <t>(in support of Gavi for its role supporting the Polio Eradication and Endgame Strategic Plan 2013-2020)</t>
    </r>
  </si>
  <si>
    <t>Al Ansari Exchange</t>
  </si>
  <si>
    <t>3 - IFFIm Proceeds:  cash disbursements from the World Bank: to the GFA (2006-2012), to Gavi (2013-2019)</t>
  </si>
  <si>
    <t xml:space="preserve">2 - Includes contributions from: A&amp;A Foundation (US$ 1m), Absolute Return for Kids (US$ 1.6m), Anglo American plc (US$ 3.0m), Dutch Postcode Lottery (US$ 3.2m) and JP Morgan (US$ 2.4m), in addition to other private sector donors (some contributions were initially paid to the GAVI Campaign). </t>
  </si>
  <si>
    <t>Proceeds, as of 30 June 2019</t>
  </si>
  <si>
    <t>Kuwait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</si>
</sst>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
    <numFmt numFmtId="166" formatCode="_-* #,##0.00\ _€_-;\-* #,##0.00\ _€_-;_-* &quot;-&quot;??\ _€_-;_-@_-"/>
    <numFmt numFmtId="167" formatCode="_-* #,##0_-;\-* #,##0_-;_-* &quot;-&quot;??_-;_-@_-"/>
    <numFmt numFmtId="168" formatCode="#,##0.0000"/>
    <numFmt numFmtId="169" formatCode="#,##0.000000"/>
    <numFmt numFmtId="170" formatCode="0.00000000"/>
    <numFmt numFmtId="171" formatCode="0.0000000"/>
  </numFmts>
  <fonts count="55">
    <font>
      <sz val="10"/>
      <name val="Arial"/>
      <family val="2"/>
    </font>
    <font>
      <sz val="11"/>
      <color indexed="8"/>
      <name val="Calibri"/>
      <family val="2"/>
    </font>
    <font>
      <b/>
      <sz val="12"/>
      <color indexed="8"/>
      <name val="Calibri"/>
      <family val="2"/>
    </font>
    <font>
      <b/>
      <sz val="12"/>
      <name val="Calibri"/>
      <family val="2"/>
    </font>
    <font>
      <b/>
      <sz val="10"/>
      <name val="Arial"/>
      <family val="2"/>
    </font>
    <font>
      <sz val="9"/>
      <name val="Arial"/>
      <family val="2"/>
    </font>
    <font>
      <b/>
      <sz val="9"/>
      <name val="Arial"/>
      <family val="2"/>
    </font>
    <font>
      <i/>
      <sz val="10"/>
      <name val="Arial"/>
      <family val="2"/>
    </font>
    <font>
      <sz val="9"/>
      <color indexed="10"/>
      <name val="Arial"/>
      <family val="2"/>
    </font>
    <font>
      <b/>
      <sz val="10"/>
      <color indexed="8"/>
      <name val="Arial"/>
      <family val="2"/>
    </font>
    <font>
      <b/>
      <sz val="9"/>
      <color indexed="8"/>
      <name val="Arial"/>
      <family val="2"/>
    </font>
    <font>
      <vertAlign val="superscript"/>
      <sz val="10"/>
      <name val="Arial"/>
      <family val="2"/>
    </font>
    <font>
      <b/>
      <vertAlign val="superscript"/>
      <sz val="10"/>
      <name val="Arial"/>
      <family val="2"/>
    </font>
    <font>
      <b/>
      <sz val="22"/>
      <color indexed="8"/>
      <name val="Calibri"/>
      <family val="2"/>
    </font>
    <font>
      <b/>
      <sz val="14"/>
      <color indexed="8"/>
      <name val="Calibri"/>
      <family val="2"/>
    </font>
    <font>
      <b/>
      <sz val="18"/>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rgb="FF000000"/>
      <name val="Calibri"/>
      <family val="2"/>
    </font>
    <font>
      <sz val="9"/>
      <color rgb="FFFF0000"/>
      <name val="Arial"/>
      <family val="2"/>
    </font>
    <font>
      <b/>
      <sz val="10"/>
      <color theme="1"/>
      <name val="Arial"/>
      <family val="2"/>
    </font>
    <font>
      <b/>
      <sz val="9"/>
      <color theme="1"/>
      <name val="Arial"/>
      <family val="2"/>
    </font>
    <font>
      <b/>
      <sz val="22"/>
      <color rgb="FF000000"/>
      <name val="Calibri"/>
      <family val="2"/>
    </font>
    <font>
      <b/>
      <sz val="18"/>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border>
    <border>
      <left style="medium"/>
      <right style="medium"/>
      <top style="medium">
        <color theme="0" tint="-0.149959996342659"/>
      </top>
      <bottom style="medium">
        <color theme="0" tint="-0.149959996342659"/>
      </bottom>
    </border>
    <border>
      <left style="medium"/>
      <right style="medium"/>
      <top style="medium"/>
      <bottom style="medium">
        <color theme="0" tint="-0.149959996342659"/>
      </bottom>
    </border>
    <border>
      <left style="medium"/>
      <right/>
      <top/>
      <bottom style="medium">
        <color theme="0" tint="-0.149959996342659"/>
      </bottom>
    </border>
    <border>
      <left/>
      <right style="medium"/>
      <top style="medium">
        <color theme="0" tint="-0.149959996342659"/>
      </top>
      <bottom style="medium">
        <color theme="0" tint="-0.149959996342659"/>
      </bottom>
    </border>
    <border>
      <left style="medium"/>
      <right/>
      <top style="medium">
        <color theme="0" tint="-0.149959996342659"/>
      </top>
      <bottom style="medium">
        <color theme="0" tint="-0.149959996342659"/>
      </bottom>
    </border>
    <border>
      <left style="medium"/>
      <right style="medium"/>
      <top/>
      <bottom style="medium">
        <color theme="0" tint="-0.149959996342659"/>
      </bottom>
    </border>
    <border>
      <left style="medium"/>
      <right style="medium"/>
      <top/>
      <bottom/>
    </border>
    <border>
      <left/>
      <right style="medium"/>
      <top/>
      <bottom/>
    </border>
    <border>
      <left style="medium"/>
      <right/>
      <top/>
      <bottom/>
    </border>
    <border>
      <left style="medium"/>
      <right style="medium"/>
      <top style="medium">
        <color theme="0" tint="-0.149959996342659"/>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66" fontId="0" fillId="0" borderId="0" applyFont="0" applyFill="0" applyBorder="0" applyAlignment="0" applyProtection="0"/>
    <xf numFmtId="41" fontId="0"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6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2" fillId="0" borderId="0">
      <alignment/>
      <protection/>
    </xf>
    <xf numFmtId="0" fontId="3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9">
    <xf numFmtId="0" fontId="0" fillId="0" borderId="0" xfId="0" applyAlignment="1">
      <alignment/>
    </xf>
    <xf numFmtId="0" fontId="0" fillId="0" borderId="0" xfId="0" applyFont="1" applyAlignment="1">
      <alignment/>
    </xf>
    <xf numFmtId="0" fontId="49" fillId="0" borderId="0" xfId="0" applyFont="1" applyAlignment="1">
      <alignment/>
    </xf>
    <xf numFmtId="3" fontId="3" fillId="0" borderId="0" xfId="0" applyNumberFormat="1" applyFont="1" applyAlignment="1">
      <alignment/>
    </xf>
    <xf numFmtId="3" fontId="0" fillId="0" borderId="0" xfId="0" applyNumberFormat="1" applyAlignment="1">
      <alignment/>
    </xf>
    <xf numFmtId="3" fontId="3" fillId="0" borderId="10" xfId="0" applyNumberFormat="1" applyFont="1" applyBorder="1" applyAlignment="1">
      <alignment/>
    </xf>
    <xf numFmtId="0" fontId="4" fillId="0" borderId="10" xfId="0" applyNumberFormat="1" applyFont="1" applyBorder="1" applyAlignment="1">
      <alignment horizontal="center" vertical="center"/>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xf>
    <xf numFmtId="0" fontId="4" fillId="0" borderId="10" xfId="0" applyFont="1" applyBorder="1" applyAlignment="1">
      <alignment horizontal="center" vertical="center"/>
    </xf>
    <xf numFmtId="3" fontId="0" fillId="0" borderId="11" xfId="0" applyNumberFormat="1" applyFont="1" applyBorder="1" applyAlignment="1">
      <alignment horizontal="left" vertical="center"/>
    </xf>
    <xf numFmtId="165" fontId="5" fillId="0" borderId="12" xfId="0" applyNumberFormat="1" applyFont="1" applyBorder="1" applyAlignment="1">
      <alignment horizontal="right" vertical="center"/>
    </xf>
    <xf numFmtId="165" fontId="5" fillId="0" borderId="13" xfId="0" applyNumberFormat="1" applyFont="1" applyBorder="1" applyAlignment="1">
      <alignment horizontal="right" vertical="center"/>
    </xf>
    <xf numFmtId="165" fontId="5" fillId="0" borderId="13" xfId="0" applyNumberFormat="1" applyFont="1" applyFill="1" applyBorder="1" applyAlignment="1">
      <alignment horizontal="right" vertical="center"/>
    </xf>
    <xf numFmtId="165" fontId="5" fillId="0" borderId="13" xfId="42" applyNumberFormat="1" applyFont="1" applyFill="1" applyBorder="1" applyAlignment="1">
      <alignment horizontal="right" vertical="center"/>
    </xf>
    <xf numFmtId="165" fontId="5" fillId="0" borderId="13" xfId="0" applyNumberFormat="1" applyFont="1" applyFill="1" applyBorder="1" applyAlignment="1">
      <alignment/>
    </xf>
    <xf numFmtId="165" fontId="7" fillId="0" borderId="0" xfId="0" applyNumberFormat="1" applyFont="1" applyAlignment="1">
      <alignment/>
    </xf>
    <xf numFmtId="3" fontId="0" fillId="0" borderId="12" xfId="0" applyNumberFormat="1" applyFont="1" applyBorder="1" applyAlignment="1">
      <alignment horizontal="left" vertical="center"/>
    </xf>
    <xf numFmtId="165" fontId="5" fillId="0" borderId="14" xfId="0" applyNumberFormat="1" applyFont="1" applyBorder="1" applyAlignment="1">
      <alignment horizontal="right" vertical="center"/>
    </xf>
    <xf numFmtId="165" fontId="5" fillId="0" borderId="12" xfId="0" applyNumberFormat="1" applyFont="1" applyFill="1" applyBorder="1" applyAlignment="1">
      <alignment horizontal="right" vertical="center"/>
    </xf>
    <xf numFmtId="165" fontId="5" fillId="0" borderId="12" xfId="0" applyNumberFormat="1" applyFont="1" applyFill="1" applyBorder="1" applyAlignment="1">
      <alignment/>
    </xf>
    <xf numFmtId="165" fontId="5" fillId="0" borderId="15" xfId="0" applyNumberFormat="1" applyFont="1" applyBorder="1" applyAlignment="1">
      <alignment horizontal="right" vertical="center"/>
    </xf>
    <xf numFmtId="165" fontId="5" fillId="0" borderId="16" xfId="0" applyNumberFormat="1" applyFont="1" applyBorder="1" applyAlignment="1">
      <alignment horizontal="right" vertical="center"/>
    </xf>
    <xf numFmtId="165" fontId="50" fillId="0" borderId="12" xfId="0" applyNumberFormat="1" applyFont="1" applyFill="1" applyBorder="1" applyAlignment="1">
      <alignment horizontal="right" vertical="center"/>
    </xf>
    <xf numFmtId="165" fontId="0" fillId="0" borderId="0" xfId="0" applyNumberFormat="1" applyAlignment="1">
      <alignment/>
    </xf>
    <xf numFmtId="3" fontId="0" fillId="0" borderId="12" xfId="0" applyNumberFormat="1" applyFont="1" applyFill="1" applyBorder="1" applyAlignment="1">
      <alignment horizontal="left" vertical="center"/>
    </xf>
    <xf numFmtId="165" fontId="5" fillId="0" borderId="12" xfId="42" applyNumberFormat="1" applyFont="1" applyFill="1" applyBorder="1" applyAlignment="1">
      <alignment horizontal="right" vertical="center"/>
    </xf>
    <xf numFmtId="165" fontId="5" fillId="0" borderId="15" xfId="0" applyNumberFormat="1" applyFont="1" applyFill="1" applyBorder="1" applyAlignment="1">
      <alignment horizontal="right" vertical="center"/>
    </xf>
    <xf numFmtId="165" fontId="5" fillId="0" borderId="16" xfId="46" applyNumberFormat="1" applyFont="1" applyBorder="1" applyAlignment="1">
      <alignment horizontal="right" vertical="center"/>
    </xf>
    <xf numFmtId="165" fontId="5" fillId="33" borderId="12" xfId="0" applyNumberFormat="1" applyFont="1" applyFill="1" applyBorder="1" applyAlignment="1">
      <alignment horizontal="right" vertical="center"/>
    </xf>
    <xf numFmtId="165" fontId="5" fillId="0" borderId="12" xfId="0" applyNumberFormat="1" applyFont="1" applyBorder="1" applyAlignment="1">
      <alignment/>
    </xf>
    <xf numFmtId="165" fontId="5" fillId="0" borderId="17" xfId="0" applyNumberFormat="1" applyFont="1" applyBorder="1" applyAlignment="1">
      <alignment/>
    </xf>
    <xf numFmtId="3" fontId="0" fillId="0" borderId="18" xfId="0" applyNumberFormat="1" applyFont="1" applyBorder="1" applyAlignment="1">
      <alignment horizontal="left" vertical="center"/>
    </xf>
    <xf numFmtId="165" fontId="5" fillId="0" borderId="18" xfId="0" applyNumberFormat="1" applyFont="1" applyBorder="1" applyAlignment="1">
      <alignment horizontal="right" vertical="center"/>
    </xf>
    <xf numFmtId="165" fontId="5" fillId="0" borderId="19" xfId="0" applyNumberFormat="1" applyFont="1" applyBorder="1" applyAlignment="1">
      <alignment horizontal="right" vertical="center"/>
    </xf>
    <xf numFmtId="165" fontId="5" fillId="0" borderId="20" xfId="0" applyNumberFormat="1" applyFont="1" applyBorder="1" applyAlignment="1">
      <alignment horizontal="right" vertical="center"/>
    </xf>
    <xf numFmtId="165" fontId="5" fillId="0" borderId="21" xfId="0" applyNumberFormat="1" applyFont="1" applyFill="1" applyBorder="1" applyAlignment="1">
      <alignment horizontal="right" vertical="center"/>
    </xf>
    <xf numFmtId="165" fontId="5" fillId="0" borderId="21" xfId="42" applyNumberFormat="1" applyFont="1" applyFill="1" applyBorder="1" applyAlignment="1">
      <alignment horizontal="right" vertical="center"/>
    </xf>
    <xf numFmtId="165" fontId="5" fillId="0" borderId="21" xfId="0" applyNumberFormat="1" applyFont="1" applyFill="1" applyBorder="1" applyAlignment="1">
      <alignment/>
    </xf>
    <xf numFmtId="165" fontId="5" fillId="0" borderId="18" xfId="0" applyNumberFormat="1" applyFont="1" applyFill="1" applyBorder="1" applyAlignment="1">
      <alignment horizontal="right" vertical="center"/>
    </xf>
    <xf numFmtId="3" fontId="4" fillId="34" borderId="10" xfId="0" applyNumberFormat="1" applyFont="1" applyFill="1" applyBorder="1" applyAlignment="1">
      <alignment horizontal="left" vertical="center" wrapText="1"/>
    </xf>
    <xf numFmtId="165" fontId="6" fillId="34" borderId="10" xfId="0" applyNumberFormat="1" applyFont="1" applyFill="1" applyBorder="1" applyAlignment="1">
      <alignment horizontal="right" vertical="center"/>
    </xf>
    <xf numFmtId="3" fontId="4" fillId="0" borderId="0" xfId="0" applyNumberFormat="1" applyFont="1" applyFill="1" applyBorder="1" applyAlignment="1">
      <alignment horizontal="left" vertical="center" wrapText="1"/>
    </xf>
    <xf numFmtId="165" fontId="6" fillId="0" borderId="0" xfId="0" applyNumberFormat="1" applyFont="1" applyFill="1" applyBorder="1" applyAlignment="1">
      <alignment horizontal="right" vertical="center"/>
    </xf>
    <xf numFmtId="0" fontId="0" fillId="0" borderId="0" xfId="0" applyFill="1" applyBorder="1" applyAlignment="1">
      <alignment/>
    </xf>
    <xf numFmtId="3" fontId="0" fillId="0" borderId="12" xfId="0" applyNumberFormat="1" applyFont="1" applyBorder="1" applyAlignment="1">
      <alignment horizontal="left" vertical="center" wrapText="1"/>
    </xf>
    <xf numFmtId="3" fontId="0" fillId="0" borderId="21" xfId="0" applyNumberFormat="1" applyFont="1" applyBorder="1" applyAlignment="1">
      <alignment horizontal="left" vertical="center"/>
    </xf>
    <xf numFmtId="3" fontId="0" fillId="0" borderId="21" xfId="0" applyNumberFormat="1" applyFont="1" applyBorder="1" applyAlignment="1">
      <alignment horizontal="left" vertical="center" wrapText="1"/>
    </xf>
    <xf numFmtId="165" fontId="6" fillId="34" borderId="10" xfId="46" applyNumberFormat="1" applyFont="1" applyFill="1" applyBorder="1" applyAlignment="1">
      <alignment vertical="center"/>
    </xf>
    <xf numFmtId="165" fontId="6" fillId="34" borderId="10" xfId="0" applyNumberFormat="1" applyFont="1" applyFill="1" applyBorder="1" applyAlignment="1">
      <alignment vertical="center"/>
    </xf>
    <xf numFmtId="165" fontId="6" fillId="0" borderId="0" xfId="46" applyNumberFormat="1" applyFont="1" applyFill="1" applyBorder="1" applyAlignment="1">
      <alignment horizontal="right" vertical="center"/>
    </xf>
    <xf numFmtId="3" fontId="51" fillId="35" borderId="10" xfId="0" applyNumberFormat="1" applyFont="1" applyFill="1" applyBorder="1" applyAlignment="1">
      <alignment horizontal="left" vertical="center"/>
    </xf>
    <xf numFmtId="165" fontId="52" fillId="35" borderId="10" xfId="46" applyNumberFormat="1" applyFont="1" applyFill="1" applyBorder="1" applyAlignment="1">
      <alignment horizontal="right" vertical="center"/>
    </xf>
    <xf numFmtId="3" fontId="4" fillId="0" borderId="0" xfId="0" applyNumberFormat="1" applyFont="1" applyFill="1" applyBorder="1" applyAlignment="1">
      <alignment horizontal="left" vertical="center"/>
    </xf>
    <xf numFmtId="0" fontId="0" fillId="0" borderId="0" xfId="0" applyFill="1" applyAlignment="1">
      <alignment/>
    </xf>
    <xf numFmtId="3" fontId="4" fillId="34" borderId="10" xfId="0" applyNumberFormat="1" applyFont="1" applyFill="1" applyBorder="1" applyAlignment="1">
      <alignment horizontal="left" vertical="center"/>
    </xf>
    <xf numFmtId="3" fontId="4" fillId="35" borderId="10" xfId="0" applyNumberFormat="1" applyFont="1" applyFill="1" applyBorder="1" applyAlignment="1">
      <alignment horizontal="left" vertical="center"/>
    </xf>
    <xf numFmtId="165" fontId="6" fillId="35" borderId="10" xfId="0" applyNumberFormat="1" applyFont="1" applyFill="1" applyBorder="1" applyAlignment="1">
      <alignment horizontal="right" vertical="center"/>
    </xf>
    <xf numFmtId="1" fontId="0" fillId="0" borderId="0" xfId="0" applyNumberFormat="1" applyAlignment="1">
      <alignment/>
    </xf>
    <xf numFmtId="0" fontId="7" fillId="0" borderId="0" xfId="0" applyFont="1" applyAlignment="1">
      <alignment/>
    </xf>
    <xf numFmtId="3" fontId="0" fillId="0" borderId="21" xfId="0" applyNumberFormat="1" applyFont="1" applyBorder="1" applyAlignment="1">
      <alignment horizontal="left" vertical="center" wrapText="1"/>
    </xf>
    <xf numFmtId="168" fontId="0" fillId="33" borderId="12" xfId="42" applyNumberFormat="1" applyFont="1" applyFill="1" applyBorder="1" applyAlignment="1">
      <alignment vertical="center"/>
    </xf>
    <xf numFmtId="165" fontId="6" fillId="34" borderId="11" xfId="0" applyNumberFormat="1" applyFont="1" applyFill="1" applyBorder="1" applyAlignment="1">
      <alignment horizontal="right" vertical="center"/>
    </xf>
    <xf numFmtId="3" fontId="0" fillId="0" borderId="21" xfId="0" applyNumberFormat="1" applyFont="1" applyBorder="1" applyAlignment="1">
      <alignment horizontal="left" vertical="center"/>
    </xf>
    <xf numFmtId="3" fontId="0" fillId="0" borderId="12" xfId="0" applyNumberFormat="1" applyFont="1" applyFill="1" applyBorder="1" applyAlignment="1">
      <alignment horizontal="left" vertical="center"/>
    </xf>
    <xf numFmtId="0" fontId="53" fillId="0" borderId="0" xfId="0" applyFont="1" applyAlignment="1">
      <alignment/>
    </xf>
    <xf numFmtId="165" fontId="5" fillId="33" borderId="12" xfId="0" applyNumberFormat="1" applyFont="1" applyFill="1" applyBorder="1" applyAlignment="1">
      <alignment vertical="center"/>
    </xf>
    <xf numFmtId="165" fontId="5" fillId="0" borderId="12" xfId="42" applyNumberFormat="1" applyFont="1" applyFill="1" applyBorder="1" applyAlignment="1">
      <alignment vertical="center"/>
    </xf>
    <xf numFmtId="165" fontId="5" fillId="0" borderId="0" xfId="0" applyNumberFormat="1" applyFont="1" applyAlignment="1">
      <alignment/>
    </xf>
    <xf numFmtId="3" fontId="0" fillId="0" borderId="12" xfId="0" applyNumberFormat="1" applyFont="1" applyBorder="1" applyAlignment="1">
      <alignment horizontal="left" vertical="center"/>
    </xf>
    <xf numFmtId="3" fontId="0" fillId="0" borderId="10" xfId="0" applyNumberFormat="1" applyFont="1" applyBorder="1" applyAlignment="1">
      <alignment horizontal="left" vertical="center" wrapText="1"/>
    </xf>
    <xf numFmtId="165" fontId="5" fillId="0" borderId="10" xfId="0" applyNumberFormat="1" applyFont="1" applyBorder="1" applyAlignment="1">
      <alignment vertical="center"/>
    </xf>
    <xf numFmtId="165" fontId="5" fillId="33" borderId="10" xfId="42" applyNumberFormat="1" applyFont="1" applyFill="1" applyBorder="1" applyAlignment="1">
      <alignment vertical="center"/>
    </xf>
    <xf numFmtId="0" fontId="54" fillId="0" borderId="0" xfId="0" applyFont="1" applyAlignment="1">
      <alignment/>
    </xf>
    <xf numFmtId="165" fontId="6" fillId="0" borderId="13" xfId="0" applyNumberFormat="1" applyFont="1" applyBorder="1" applyAlignment="1">
      <alignment horizontal="right" vertical="center"/>
    </xf>
    <xf numFmtId="165" fontId="52" fillId="35" borderId="10" xfId="0" applyNumberFormat="1" applyFont="1" applyFill="1" applyBorder="1" applyAlignment="1">
      <alignment horizontal="right" vertical="center"/>
    </xf>
    <xf numFmtId="165" fontId="5" fillId="0" borderId="17" xfId="42" applyNumberFormat="1" applyFont="1" applyFill="1" applyBorder="1" applyAlignment="1">
      <alignment vertical="center"/>
    </xf>
    <xf numFmtId="165" fontId="5" fillId="33" borderId="11" xfId="42" applyNumberFormat="1" applyFont="1" applyFill="1" applyBorder="1" applyAlignment="1">
      <alignment vertical="center"/>
    </xf>
    <xf numFmtId="169" fontId="6" fillId="0" borderId="0" xfId="46" applyNumberFormat="1" applyFont="1" applyFill="1" applyBorder="1" applyAlignment="1">
      <alignment horizontal="right" vertical="center"/>
    </xf>
    <xf numFmtId="165" fontId="5" fillId="33" borderId="0" xfId="42" applyNumberFormat="1" applyFont="1" applyFill="1" applyBorder="1" applyAlignment="1">
      <alignment vertical="center"/>
    </xf>
    <xf numFmtId="165" fontId="5" fillId="0" borderId="13" xfId="0" applyNumberFormat="1" applyFont="1" applyBorder="1" applyAlignment="1">
      <alignment vertical="center"/>
    </xf>
    <xf numFmtId="165" fontId="5" fillId="33" borderId="13" xfId="42" applyNumberFormat="1" applyFont="1" applyFill="1" applyBorder="1" applyAlignment="1">
      <alignment vertical="center"/>
    </xf>
    <xf numFmtId="165" fontId="5" fillId="0" borderId="16" xfId="0" applyNumberFormat="1" applyFont="1" applyFill="1" applyBorder="1" applyAlignment="1">
      <alignment horizontal="right" vertical="center"/>
    </xf>
    <xf numFmtId="165" fontId="6" fillId="0" borderId="13" xfId="0" applyNumberFormat="1" applyFont="1" applyFill="1" applyBorder="1" applyAlignment="1">
      <alignment horizontal="right" vertical="center"/>
    </xf>
    <xf numFmtId="0" fontId="0" fillId="0" borderId="0" xfId="0" applyFill="1" applyAlignment="1">
      <alignment horizontal="left" indent="1"/>
    </xf>
    <xf numFmtId="0" fontId="0" fillId="0" borderId="0" xfId="0" applyAlignment="1">
      <alignment/>
    </xf>
    <xf numFmtId="165" fontId="5" fillId="0" borderId="17" xfId="0" applyNumberFormat="1" applyFont="1" applyFill="1" applyBorder="1" applyAlignment="1">
      <alignment horizontal="right" vertical="center"/>
    </xf>
    <xf numFmtId="0" fontId="0" fillId="0" borderId="0" xfId="0" applyFill="1" applyBorder="1" applyAlignment="1">
      <alignment/>
    </xf>
    <xf numFmtId="165" fontId="6" fillId="0" borderId="13" xfId="0" applyNumberFormat="1" applyFont="1" applyBorder="1" applyAlignment="1">
      <alignment vertical="center"/>
    </xf>
    <xf numFmtId="3" fontId="0" fillId="0" borderId="12" xfId="0" applyNumberFormat="1" applyFont="1" applyBorder="1" applyAlignment="1">
      <alignment horizontal="left" vertical="center" wrapText="1"/>
    </xf>
    <xf numFmtId="0" fontId="0" fillId="0" borderId="0" xfId="0" applyAlignment="1">
      <alignment horizontal="left" indent="1"/>
    </xf>
    <xf numFmtId="165" fontId="5" fillId="0" borderId="12" xfId="0" applyNumberFormat="1" applyFont="1" applyBorder="1" applyAlignment="1">
      <alignment vertical="center"/>
    </xf>
    <xf numFmtId="165" fontId="5" fillId="33" borderId="12" xfId="42" applyNumberFormat="1" applyFont="1" applyFill="1" applyBorder="1" applyAlignment="1">
      <alignment vertical="center"/>
    </xf>
    <xf numFmtId="165" fontId="5" fillId="33" borderId="17" xfId="42" applyNumberFormat="1" applyFont="1" applyFill="1" applyBorder="1" applyAlignment="1">
      <alignment vertical="center"/>
    </xf>
    <xf numFmtId="170" fontId="0" fillId="0" borderId="0" xfId="0" applyNumberFormat="1" applyAlignment="1">
      <alignment/>
    </xf>
    <xf numFmtId="171" fontId="0" fillId="0" borderId="0" xfId="0" applyNumberFormat="1" applyAlignment="1">
      <alignment/>
    </xf>
    <xf numFmtId="165" fontId="6" fillId="0" borderId="12" xfId="0" applyNumberFormat="1" applyFont="1" applyBorder="1" applyAlignment="1">
      <alignment vertical="center"/>
    </xf>
    <xf numFmtId="3" fontId="0" fillId="0" borderId="13" xfId="0" applyNumberFormat="1" applyFont="1" applyBorder="1" applyAlignment="1">
      <alignment horizontal="left" vertical="center" wrapText="1"/>
    </xf>
    <xf numFmtId="0" fontId="7" fillId="0" borderId="0" xfId="0" applyFont="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_Sheet1" xfId="46"/>
    <cellStyle name="Currency" xfId="47"/>
    <cellStyle name="Currency [0]" xfId="48"/>
    <cellStyle name="Explanatory Text" xfId="49"/>
    <cellStyle name="Good" xfId="50"/>
    <cellStyle name="Heading 1" xfId="51"/>
    <cellStyle name="Heading 2" xfId="52"/>
    <cellStyle name="Heading 3" xfId="53"/>
    <cellStyle name="Heading 4" xfId="54"/>
    <cellStyle name="Input" xfId="55"/>
    <cellStyle name="Linked Cell" xfId="56"/>
    <cellStyle name="Neutral" xfId="57"/>
    <cellStyle name="Normal 2" xfId="58"/>
    <cellStyle name="Normal 2 2"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0</xdr:col>
      <xdr:colOff>1638300</xdr:colOff>
      <xdr:row>0</xdr:row>
      <xdr:rowOff>781050</xdr:rowOff>
    </xdr:to>
    <xdr:pic>
      <xdr:nvPicPr>
        <xdr:cNvPr id="1" name="Picture 1" descr="Description: Description: Description: Description: cid:image001.png@01CFBDF7.83202F10"/>
        <xdr:cNvPicPr preferRelativeResize="1">
          <a:picLocks noChangeAspect="1"/>
        </xdr:cNvPicPr>
      </xdr:nvPicPr>
      <xdr:blipFill>
        <a:blip r:embed="rId1"/>
        <a:stretch>
          <a:fillRect/>
        </a:stretch>
      </xdr:blipFill>
      <xdr:spPr>
        <a:xfrm>
          <a:off x="28575" y="0"/>
          <a:ext cx="160972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83"/>
  <sheetViews>
    <sheetView showGridLines="0" tabSelected="1" zoomScale="90" zoomScaleNormal="90" zoomScaleSheetLayoutView="110"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10.28125" defaultRowHeight="12.75"/>
  <cols>
    <col min="1" max="1" width="29.28125" style="0" customWidth="1"/>
    <col min="2" max="14" width="7.7109375" style="0" customWidth="1"/>
    <col min="15" max="18" width="7.8515625" style="0" customWidth="1"/>
    <col min="19" max="19" width="8.00390625" style="0" customWidth="1"/>
    <col min="20" max="21" width="7.8515625" style="85" customWidth="1"/>
    <col min="22" max="22" width="11.28125" style="0" customWidth="1"/>
    <col min="23" max="23" width="5.00390625" style="0" customWidth="1"/>
    <col min="24" max="24" width="14.7109375" style="0" customWidth="1"/>
    <col min="25" max="25" width="12.7109375" style="0" bestFit="1" customWidth="1"/>
    <col min="26" max="26" width="10.28125" style="0" customWidth="1"/>
    <col min="27" max="27" width="15.57421875" style="0" bestFit="1" customWidth="1"/>
    <col min="28" max="28" width="13.28125" style="0" bestFit="1" customWidth="1"/>
    <col min="29" max="29" width="12.7109375" style="0" bestFit="1" customWidth="1"/>
  </cols>
  <sheetData>
    <row r="1" spans="1:23" ht="70.5" customHeight="1">
      <c r="A1" s="85"/>
      <c r="B1" s="85"/>
      <c r="C1" s="85"/>
      <c r="D1" s="85"/>
      <c r="E1" s="85"/>
      <c r="F1" s="85"/>
      <c r="G1" s="85"/>
      <c r="H1" s="85"/>
      <c r="I1" s="85"/>
      <c r="J1" s="85"/>
      <c r="K1" s="85"/>
      <c r="L1" s="85"/>
      <c r="M1" s="85"/>
      <c r="N1" s="85"/>
      <c r="O1" s="85"/>
      <c r="P1" s="85"/>
      <c r="Q1" s="85"/>
      <c r="R1" s="85"/>
      <c r="S1" s="85"/>
      <c r="V1" s="85"/>
      <c r="W1" s="85"/>
    </row>
    <row r="2" spans="1:23" ht="23.25" customHeight="1">
      <c r="A2" s="65" t="s">
        <v>0</v>
      </c>
      <c r="B2" s="85"/>
      <c r="C2" s="85"/>
      <c r="D2" s="85"/>
      <c r="E2" s="85"/>
      <c r="F2" s="85"/>
      <c r="G2" s="85"/>
      <c r="H2" s="85"/>
      <c r="I2" s="85"/>
      <c r="J2" s="85"/>
      <c r="K2" s="85"/>
      <c r="L2" s="85"/>
      <c r="M2" s="1"/>
      <c r="N2" s="1"/>
      <c r="O2" s="1"/>
      <c r="P2" s="1"/>
      <c r="Q2" s="1"/>
      <c r="R2" s="1"/>
      <c r="S2" s="1"/>
      <c r="T2" s="1"/>
      <c r="U2" s="1"/>
      <c r="V2" s="85"/>
      <c r="W2" s="85"/>
    </row>
    <row r="3" spans="1:23" ht="15.75">
      <c r="A3" s="2" t="s">
        <v>56</v>
      </c>
      <c r="B3" s="85"/>
      <c r="C3" s="85"/>
      <c r="D3" s="85"/>
      <c r="E3" s="85"/>
      <c r="F3" s="85"/>
      <c r="G3" s="85"/>
      <c r="H3" s="85"/>
      <c r="I3" s="85"/>
      <c r="J3" s="85"/>
      <c r="K3" s="85"/>
      <c r="L3" s="85"/>
      <c r="M3" s="1"/>
      <c r="N3" s="1"/>
      <c r="O3" s="1"/>
      <c r="P3" s="1"/>
      <c r="Q3" s="1"/>
      <c r="R3" s="1"/>
      <c r="S3" s="1"/>
      <c r="T3" s="1"/>
      <c r="U3" s="1"/>
      <c r="V3" s="85"/>
      <c r="W3" s="85"/>
    </row>
    <row r="4" spans="1:23" ht="15.75">
      <c r="A4" s="3" t="s">
        <v>1</v>
      </c>
      <c r="B4" s="4"/>
      <c r="C4" s="4"/>
      <c r="D4" s="4"/>
      <c r="E4" s="4"/>
      <c r="F4" s="4"/>
      <c r="G4" s="4"/>
      <c r="H4" s="4"/>
      <c r="I4" s="4"/>
      <c r="J4" s="85"/>
      <c r="K4" s="85"/>
      <c r="L4" s="85"/>
      <c r="M4" s="85"/>
      <c r="N4" s="85"/>
      <c r="O4" s="85"/>
      <c r="P4" s="85"/>
      <c r="Q4" s="85"/>
      <c r="R4" s="85"/>
      <c r="S4" s="85"/>
      <c r="V4" s="85"/>
      <c r="W4" s="85"/>
    </row>
    <row r="5" spans="1:9" s="85" customFormat="1" ht="16.5" thickBot="1">
      <c r="A5" s="3"/>
      <c r="B5" s="4"/>
      <c r="C5" s="4"/>
      <c r="D5" s="4"/>
      <c r="E5" s="4"/>
      <c r="F5" s="4"/>
      <c r="G5" s="4"/>
      <c r="H5" s="4"/>
      <c r="I5" s="4"/>
    </row>
    <row r="6" spans="1:23" ht="16.5" thickBot="1">
      <c r="A6" s="5"/>
      <c r="B6" s="6">
        <v>2000</v>
      </c>
      <c r="C6" s="6">
        <v>2001</v>
      </c>
      <c r="D6" s="6">
        <v>2002</v>
      </c>
      <c r="E6" s="6">
        <v>2003</v>
      </c>
      <c r="F6" s="6">
        <v>2004</v>
      </c>
      <c r="G6" s="7">
        <v>2005</v>
      </c>
      <c r="H6" s="8">
        <v>2006</v>
      </c>
      <c r="I6" s="7">
        <v>2007</v>
      </c>
      <c r="J6" s="8">
        <v>2008</v>
      </c>
      <c r="K6" s="7">
        <v>2009</v>
      </c>
      <c r="L6" s="7">
        <v>2010</v>
      </c>
      <c r="M6" s="7">
        <v>2011</v>
      </c>
      <c r="N6" s="7">
        <v>2012</v>
      </c>
      <c r="O6" s="7">
        <v>2013</v>
      </c>
      <c r="P6" s="7">
        <v>2014</v>
      </c>
      <c r="Q6" s="7">
        <v>2015</v>
      </c>
      <c r="R6" s="7">
        <v>2016</v>
      </c>
      <c r="S6" s="7">
        <v>2017</v>
      </c>
      <c r="T6" s="7">
        <v>2018</v>
      </c>
      <c r="U6" s="7">
        <v>2019</v>
      </c>
      <c r="V6" s="9" t="s">
        <v>2</v>
      </c>
      <c r="W6" s="85"/>
    </row>
    <row r="7" spans="1:23" ht="13.5" thickBot="1">
      <c r="A7" s="10" t="s">
        <v>3</v>
      </c>
      <c r="B7" s="11"/>
      <c r="C7" s="11"/>
      <c r="D7" s="11"/>
      <c r="E7" s="11"/>
      <c r="F7" s="11"/>
      <c r="G7" s="12"/>
      <c r="H7" s="13">
        <v>5</v>
      </c>
      <c r="I7" s="14">
        <v>5</v>
      </c>
      <c r="J7" s="15">
        <v>5</v>
      </c>
      <c r="K7" s="13">
        <v>5</v>
      </c>
      <c r="L7" s="13">
        <v>8.6</v>
      </c>
      <c r="M7" s="13">
        <v>48.844</v>
      </c>
      <c r="N7" s="13">
        <v>56.4855</v>
      </c>
      <c r="O7" s="13">
        <v>48.27725</v>
      </c>
      <c r="P7" s="13">
        <f>45.79575+42.825</f>
        <v>88.62075</v>
      </c>
      <c r="Q7" s="13"/>
      <c r="R7" s="13">
        <v>37.579125</v>
      </c>
      <c r="S7" s="13">
        <f>1.852+13.65175</f>
        <v>15.50375</v>
      </c>
      <c r="T7" s="13"/>
      <c r="U7" s="13">
        <f>22.31575+20.4070375+24.071875</f>
        <v>66.7946625</v>
      </c>
      <c r="V7" s="74">
        <f>SUM(B7:U7)</f>
        <v>390.70503750000006</v>
      </c>
      <c r="W7" s="90"/>
    </row>
    <row r="8" spans="1:23" ht="13.5" thickBot="1">
      <c r="A8" s="17" t="s">
        <v>4</v>
      </c>
      <c r="B8" s="11"/>
      <c r="C8" s="11"/>
      <c r="D8" s="11">
        <v>1.88035602</v>
      </c>
      <c r="E8" s="11">
        <v>4.75542135</v>
      </c>
      <c r="F8" s="11">
        <v>9.06273425</v>
      </c>
      <c r="G8" s="18">
        <v>130.8686406</v>
      </c>
      <c r="H8" s="19">
        <v>5.19031142</v>
      </c>
      <c r="I8" s="19"/>
      <c r="J8" s="20"/>
      <c r="K8" s="19"/>
      <c r="L8" s="19"/>
      <c r="M8" s="19">
        <v>20.736</v>
      </c>
      <c r="N8" s="86">
        <v>15.128593039999998</v>
      </c>
      <c r="O8" s="86">
        <v>38.97471431</v>
      </c>
      <c r="P8" s="86">
        <f>18.32844575+18.32844575</f>
        <v>36.6568915</v>
      </c>
      <c r="Q8" s="86">
        <v>8.034</v>
      </c>
      <c r="R8" s="86">
        <v>77.10330716</v>
      </c>
      <c r="S8" s="86">
        <f>76.26582082+16.27927621</f>
        <v>92.54509703</v>
      </c>
      <c r="T8" s="86">
        <v>76.86314084</v>
      </c>
      <c r="U8" s="86">
        <v>94.88125115</v>
      </c>
      <c r="V8" s="74">
        <f aca="true" t="shared" si="0" ref="V8:V32">SUM(B8:U8)</f>
        <v>612.68045867</v>
      </c>
      <c r="W8" s="90"/>
    </row>
    <row r="9" spans="1:23" ht="13.5" thickBot="1">
      <c r="A9" s="69" t="s">
        <v>5</v>
      </c>
      <c r="B9" s="11"/>
      <c r="C9" s="21"/>
      <c r="D9" s="11"/>
      <c r="E9" s="11"/>
      <c r="F9" s="21"/>
      <c r="G9" s="18"/>
      <c r="H9" s="19"/>
      <c r="I9" s="19"/>
      <c r="J9" s="20"/>
      <c r="K9" s="19"/>
      <c r="L9" s="19"/>
      <c r="M9" s="19"/>
      <c r="N9" s="86"/>
      <c r="O9" s="86"/>
      <c r="P9" s="86"/>
      <c r="Q9" s="86"/>
      <c r="R9" s="86">
        <v>2</v>
      </c>
      <c r="S9" s="86">
        <v>1</v>
      </c>
      <c r="T9" s="86">
        <v>0.5</v>
      </c>
      <c r="U9" s="86"/>
      <c r="V9" s="74">
        <f t="shared" si="0"/>
        <v>3.5</v>
      </c>
      <c r="W9" s="90"/>
    </row>
    <row r="10" spans="1:23" ht="13.5" thickBot="1">
      <c r="A10" s="17" t="s">
        <v>6</v>
      </c>
      <c r="B10" s="11"/>
      <c r="C10" s="21">
        <v>1.14740743</v>
      </c>
      <c r="D10" s="11"/>
      <c r="E10" s="11"/>
      <c r="F10" s="21">
        <v>3.33887922</v>
      </c>
      <c r="G10" s="22">
        <v>3.41610739</v>
      </c>
      <c r="H10" s="19">
        <v>4.41126234</v>
      </c>
      <c r="I10" s="19">
        <v>4.73754</v>
      </c>
      <c r="J10" s="20"/>
      <c r="K10" s="19">
        <v>9.098395589999999</v>
      </c>
      <c r="L10" s="19">
        <v>1.807207</v>
      </c>
      <c r="M10" s="19">
        <v>8.798</v>
      </c>
      <c r="N10" s="86">
        <v>4.351625</v>
      </c>
      <c r="O10" s="86">
        <v>4.59933788</v>
      </c>
      <c r="P10" s="86"/>
      <c r="Q10" s="86"/>
      <c r="R10" s="86"/>
      <c r="S10" s="86"/>
      <c r="T10" s="86">
        <v>3.81596749</v>
      </c>
      <c r="U10" s="86"/>
      <c r="V10" s="74">
        <f t="shared" si="0"/>
        <v>49.52172934</v>
      </c>
      <c r="W10" s="90"/>
    </row>
    <row r="11" spans="1:23" ht="13.5" thickBot="1">
      <c r="A11" s="17" t="s">
        <v>7</v>
      </c>
      <c r="B11" s="11"/>
      <c r="C11" s="11"/>
      <c r="D11" s="11"/>
      <c r="E11" s="21">
        <v>1.26</v>
      </c>
      <c r="F11" s="11"/>
      <c r="G11" s="22"/>
      <c r="H11" s="19"/>
      <c r="I11" s="19">
        <v>4.84964</v>
      </c>
      <c r="J11" s="20">
        <v>23.129114</v>
      </c>
      <c r="K11" s="19">
        <v>28.63013</v>
      </c>
      <c r="L11" s="19"/>
      <c r="M11" s="23"/>
      <c r="N11" s="86">
        <v>12.54732252</v>
      </c>
      <c r="O11" s="86"/>
      <c r="P11" s="86"/>
      <c r="Q11" s="86">
        <v>22.27009</v>
      </c>
      <c r="R11" s="86">
        <v>14.40126</v>
      </c>
      <c r="S11" s="86">
        <v>7.81389</v>
      </c>
      <c r="T11" s="86">
        <f>30.83275+22.80911886</f>
        <v>53.64186886</v>
      </c>
      <c r="U11" s="86"/>
      <c r="V11" s="74">
        <f t="shared" si="0"/>
        <v>168.54331538</v>
      </c>
      <c r="W11" s="90"/>
    </row>
    <row r="12" spans="1:23" ht="13.5" thickBot="1">
      <c r="A12" s="69" t="s">
        <v>8</v>
      </c>
      <c r="B12" s="11"/>
      <c r="C12" s="11"/>
      <c r="D12" s="11"/>
      <c r="E12" s="11"/>
      <c r="F12" s="21">
        <v>6.02911392</v>
      </c>
      <c r="G12" s="22"/>
      <c r="H12" s="19">
        <v>12.63</v>
      </c>
      <c r="I12" s="19"/>
      <c r="J12" s="20"/>
      <c r="K12" s="19"/>
      <c r="L12" s="19"/>
      <c r="M12" s="19">
        <v>34.5</v>
      </c>
      <c r="N12" s="86">
        <v>20.10215</v>
      </c>
      <c r="O12" s="86">
        <v>34.93515</v>
      </c>
      <c r="P12" s="86">
        <v>6.84255</v>
      </c>
      <c r="Q12" s="86">
        <v>5.8586</v>
      </c>
      <c r="R12" s="86">
        <v>134.53778</v>
      </c>
      <c r="S12" s="86"/>
      <c r="T12" s="86"/>
      <c r="U12" s="86"/>
      <c r="V12" s="74">
        <f t="shared" si="0"/>
        <v>255.43534391999998</v>
      </c>
      <c r="W12" s="90"/>
    </row>
    <row r="13" spans="1:23" ht="13.5" thickBot="1">
      <c r="A13" s="25" t="s">
        <v>9</v>
      </c>
      <c r="B13" s="11"/>
      <c r="C13" s="11"/>
      <c r="D13" s="11"/>
      <c r="E13" s="11"/>
      <c r="F13" s="11"/>
      <c r="G13" s="22"/>
      <c r="H13" s="19">
        <v>5.2604</v>
      </c>
      <c r="I13" s="19">
        <v>5.948</v>
      </c>
      <c r="J13" s="20"/>
      <c r="K13" s="19">
        <v>5.72138</v>
      </c>
      <c r="L13" s="19">
        <v>5.13598</v>
      </c>
      <c r="M13" s="19">
        <v>8.5</v>
      </c>
      <c r="N13" s="86">
        <v>34.69248328</v>
      </c>
      <c r="O13" s="86">
        <v>35.39006</v>
      </c>
      <c r="P13" s="86">
        <f>11.6316+27.47318393+11.2563+9.96968308</f>
        <v>60.33076701</v>
      </c>
      <c r="Q13" s="86">
        <f>13.6327654+11.148+11.243+11.265+10.744+5.26329122</f>
        <v>63.29605662</v>
      </c>
      <c r="R13" s="86">
        <v>115.24406384</v>
      </c>
      <c r="S13" s="86">
        <f>6.73968835+4.13493716+21.6599+11.2108+11.82085255+6.98574453+23.50283884+11.75141942+11.77411421+6.99919409+21.38212304+11.7821</f>
        <v>149.74371219</v>
      </c>
      <c r="T13" s="86">
        <f>12.1637438+3.0409359375+9.1228078125+48.654975+34.1016+22.6642+28.33025</f>
        <v>158.07851255</v>
      </c>
      <c r="U13" s="86">
        <f>18.67846875+18.69210195</f>
        <v>37.3705707</v>
      </c>
      <c r="V13" s="74">
        <f t="shared" si="0"/>
        <v>684.7119861900001</v>
      </c>
      <c r="W13" s="90"/>
    </row>
    <row r="14" spans="1:23" s="85" customFormat="1" ht="13.5" thickBot="1">
      <c r="A14" s="64" t="s">
        <v>10</v>
      </c>
      <c r="B14" s="11"/>
      <c r="C14" s="11"/>
      <c r="D14" s="21"/>
      <c r="E14" s="21"/>
      <c r="F14" s="21"/>
      <c r="G14" s="22"/>
      <c r="H14" s="19"/>
      <c r="I14" s="19"/>
      <c r="J14" s="20"/>
      <c r="K14" s="19"/>
      <c r="L14" s="19"/>
      <c r="M14" s="19"/>
      <c r="N14" s="86"/>
      <c r="O14" s="86"/>
      <c r="P14" s="86"/>
      <c r="Q14" s="86"/>
      <c r="R14" s="86"/>
      <c r="S14" s="86"/>
      <c r="T14" s="86">
        <v>1</v>
      </c>
      <c r="U14" s="86"/>
      <c r="V14" s="74">
        <f t="shared" si="0"/>
        <v>1</v>
      </c>
      <c r="W14" s="90"/>
    </row>
    <row r="15" spans="1:23" ht="13.5" thickBot="1">
      <c r="A15" s="64" t="s">
        <v>11</v>
      </c>
      <c r="B15" s="11"/>
      <c r="C15" s="11"/>
      <c r="D15" s="21"/>
      <c r="E15" s="21"/>
      <c r="F15" s="21"/>
      <c r="G15" s="22"/>
      <c r="H15" s="19"/>
      <c r="I15" s="19"/>
      <c r="J15" s="20"/>
      <c r="K15" s="19"/>
      <c r="L15" s="19"/>
      <c r="M15" s="19"/>
      <c r="N15" s="86"/>
      <c r="O15" s="86"/>
      <c r="P15" s="86">
        <f>1+1</f>
        <v>2</v>
      </c>
      <c r="Q15" s="86">
        <v>1</v>
      </c>
      <c r="R15" s="86">
        <v>1</v>
      </c>
      <c r="S15" s="86"/>
      <c r="T15" s="86">
        <v>2</v>
      </c>
      <c r="U15" s="86">
        <v>2</v>
      </c>
      <c r="V15" s="74">
        <f t="shared" si="0"/>
        <v>8</v>
      </c>
      <c r="W15" s="90"/>
    </row>
    <row r="16" spans="1:23" ht="13.5" thickBot="1">
      <c r="A16" s="17" t="s">
        <v>12</v>
      </c>
      <c r="B16" s="11"/>
      <c r="C16" s="11"/>
      <c r="D16" s="21">
        <v>0.51075</v>
      </c>
      <c r="E16" s="21">
        <v>0.62375</v>
      </c>
      <c r="F16" s="21">
        <v>0.65</v>
      </c>
      <c r="G16" s="22">
        <v>0.83146</v>
      </c>
      <c r="H16" s="19">
        <v>7.902</v>
      </c>
      <c r="I16" s="26">
        <v>8.3112</v>
      </c>
      <c r="J16" s="20">
        <v>3.84132</v>
      </c>
      <c r="K16" s="19">
        <v>3.54</v>
      </c>
      <c r="L16" s="19">
        <v>3.630863</v>
      </c>
      <c r="M16" s="19">
        <v>4.913</v>
      </c>
      <c r="N16" s="86">
        <v>3.491585</v>
      </c>
      <c r="O16" s="86">
        <v>2.98494</v>
      </c>
      <c r="P16" s="86">
        <v>0.7467</v>
      </c>
      <c r="Q16" s="86">
        <v>3.2814</v>
      </c>
      <c r="R16" s="86">
        <v>3.20139</v>
      </c>
      <c r="S16" s="86">
        <v>3.53277749</v>
      </c>
      <c r="T16" s="86">
        <v>3.4059</v>
      </c>
      <c r="U16" s="86"/>
      <c r="V16" s="74">
        <f t="shared" si="0"/>
        <v>55.39903549</v>
      </c>
      <c r="W16" s="90"/>
    </row>
    <row r="17" spans="1:24" ht="13.5" thickBot="1">
      <c r="A17" s="69" t="s">
        <v>13</v>
      </c>
      <c r="B17" s="11"/>
      <c r="C17" s="11"/>
      <c r="D17" s="21"/>
      <c r="E17" s="21"/>
      <c r="F17" s="21"/>
      <c r="G17" s="22"/>
      <c r="H17" s="19"/>
      <c r="I17" s="26"/>
      <c r="J17" s="20"/>
      <c r="K17" s="19"/>
      <c r="L17" s="19"/>
      <c r="M17" s="19"/>
      <c r="N17" s="86"/>
      <c r="O17" s="86"/>
      <c r="P17" s="86"/>
      <c r="Q17" s="86"/>
      <c r="R17" s="86">
        <v>4.2532</v>
      </c>
      <c r="S17" s="86">
        <v>14.32920461</v>
      </c>
      <c r="T17" s="86">
        <v>32.41812</v>
      </c>
      <c r="U17" s="86"/>
      <c r="V17" s="74">
        <f t="shared" si="0"/>
        <v>51.00052461</v>
      </c>
      <c r="W17" s="90"/>
      <c r="X17" s="85"/>
    </row>
    <row r="18" spans="1:24" ht="13.5" thickBot="1">
      <c r="A18" s="17" t="s">
        <v>14</v>
      </c>
      <c r="B18" s="11"/>
      <c r="C18" s="11"/>
      <c r="D18" s="21"/>
      <c r="E18" s="21"/>
      <c r="F18" s="21"/>
      <c r="G18" s="22"/>
      <c r="H18" s="19"/>
      <c r="I18" s="26"/>
      <c r="J18" s="20"/>
      <c r="K18" s="19"/>
      <c r="L18" s="19"/>
      <c r="M18" s="19">
        <v>9.348</v>
      </c>
      <c r="N18" s="86">
        <v>9.067392</v>
      </c>
      <c r="O18" s="86">
        <v>9.067392</v>
      </c>
      <c r="P18" s="86">
        <v>8.684463</v>
      </c>
      <c r="Q18" s="86">
        <v>17.368928</v>
      </c>
      <c r="R18" s="86">
        <v>18.759418</v>
      </c>
      <c r="S18" s="86">
        <f>0.166666+19</f>
        <v>19.166666</v>
      </c>
      <c r="T18" s="86">
        <f>0.181818+18.818181+0.178571</f>
        <v>19.17857</v>
      </c>
      <c r="U18" s="86">
        <v>18.85</v>
      </c>
      <c r="V18" s="74">
        <f t="shared" si="0"/>
        <v>129.490829</v>
      </c>
      <c r="W18" s="90"/>
      <c r="X18" s="85"/>
    </row>
    <row r="19" spans="1:23" s="85" customFormat="1" ht="13.5" thickBot="1">
      <c r="A19" s="69" t="s">
        <v>57</v>
      </c>
      <c r="B19" s="11"/>
      <c r="C19" s="11"/>
      <c r="D19" s="21"/>
      <c r="E19" s="21"/>
      <c r="F19" s="21"/>
      <c r="G19" s="22"/>
      <c r="H19" s="19"/>
      <c r="I19" s="26"/>
      <c r="J19" s="20"/>
      <c r="K19" s="19"/>
      <c r="L19" s="19"/>
      <c r="M19" s="19"/>
      <c r="N19" s="86"/>
      <c r="O19" s="86"/>
      <c r="P19" s="86"/>
      <c r="Q19" s="86"/>
      <c r="R19" s="86"/>
      <c r="S19" s="86"/>
      <c r="T19" s="86"/>
      <c r="U19" s="86">
        <v>0.5</v>
      </c>
      <c r="V19" s="74">
        <f t="shared" si="0"/>
        <v>0.5</v>
      </c>
      <c r="W19" s="90"/>
    </row>
    <row r="20" spans="1:24" ht="13.5" thickBot="1">
      <c r="A20" s="17" t="s">
        <v>15</v>
      </c>
      <c r="B20" s="11"/>
      <c r="C20" s="11"/>
      <c r="D20" s="21"/>
      <c r="E20" s="21"/>
      <c r="F20" s="27"/>
      <c r="G20" s="28">
        <v>0.64515</v>
      </c>
      <c r="H20" s="19">
        <v>1.318775</v>
      </c>
      <c r="I20" s="26">
        <v>0.81184</v>
      </c>
      <c r="J20" s="20">
        <v>1.4229</v>
      </c>
      <c r="K20" s="19">
        <v>1.19124</v>
      </c>
      <c r="L20" s="19">
        <v>1.10044</v>
      </c>
      <c r="M20" s="19">
        <v>1.186</v>
      </c>
      <c r="N20" s="86">
        <v>1.0752701</v>
      </c>
      <c r="O20" s="86">
        <v>1.0590259</v>
      </c>
      <c r="P20" s="86">
        <v>1.120594</v>
      </c>
      <c r="Q20" s="86">
        <v>0.92074766</v>
      </c>
      <c r="R20" s="86">
        <v>0.89615857</v>
      </c>
      <c r="S20" s="86">
        <v>0.863788</v>
      </c>
      <c r="T20" s="86">
        <v>0.91594</v>
      </c>
      <c r="U20" s="86"/>
      <c r="V20" s="74">
        <f t="shared" si="0"/>
        <v>14.52786923</v>
      </c>
      <c r="W20" s="90"/>
      <c r="X20" s="85"/>
    </row>
    <row r="21" spans="1:24" ht="13.5" thickBot="1">
      <c r="A21" s="69" t="s">
        <v>16</v>
      </c>
      <c r="B21" s="11"/>
      <c r="C21" s="11"/>
      <c r="D21" s="21"/>
      <c r="E21" s="21"/>
      <c r="F21" s="27"/>
      <c r="G21" s="28"/>
      <c r="H21" s="19"/>
      <c r="I21" s="26"/>
      <c r="J21" s="20"/>
      <c r="K21" s="19"/>
      <c r="L21" s="19"/>
      <c r="M21" s="19"/>
      <c r="N21" s="86"/>
      <c r="O21" s="86"/>
      <c r="P21" s="86"/>
      <c r="Q21" s="86"/>
      <c r="R21" s="86"/>
      <c r="S21" s="86">
        <v>0.107821</v>
      </c>
      <c r="T21" s="86">
        <v>0.184512</v>
      </c>
      <c r="U21" s="86">
        <v>0.169452</v>
      </c>
      <c r="V21" s="74">
        <f t="shared" si="0"/>
        <v>0.461785</v>
      </c>
      <c r="W21" s="90"/>
      <c r="X21" s="85"/>
    </row>
    <row r="22" spans="1:24" ht="13.5" thickBot="1">
      <c r="A22" s="17" t="s">
        <v>17</v>
      </c>
      <c r="B22" s="11"/>
      <c r="C22" s="11">
        <v>24.06033462</v>
      </c>
      <c r="D22" s="11">
        <v>13.37517187</v>
      </c>
      <c r="E22" s="11">
        <v>16.49264195</v>
      </c>
      <c r="F22" s="21">
        <v>17.32986645</v>
      </c>
      <c r="G22" s="22">
        <v>15.85941435</v>
      </c>
      <c r="H22" s="19"/>
      <c r="I22" s="26">
        <v>33.547469</v>
      </c>
      <c r="J22" s="20">
        <v>38.885301</v>
      </c>
      <c r="K22" s="19">
        <v>31.20579</v>
      </c>
      <c r="L22" s="19">
        <v>25.1113845</v>
      </c>
      <c r="M22" s="19">
        <v>26.3</v>
      </c>
      <c r="N22" s="86">
        <v>14.2065</v>
      </c>
      <c r="O22" s="86">
        <v>34.4275</v>
      </c>
      <c r="P22" s="86">
        <v>39.8048</v>
      </c>
      <c r="Q22" s="86">
        <v>33.9456</v>
      </c>
      <c r="R22" s="86">
        <v>38.309967</v>
      </c>
      <c r="S22" s="86">
        <f>0.68127625+1.17542486+57.47701758</f>
        <v>59.333718690000005</v>
      </c>
      <c r="T22" s="86">
        <f>1.48437318+0.11609+1.102855+25.4222244375+18.245615625</f>
        <v>46.3711582425</v>
      </c>
      <c r="U22" s="86"/>
      <c r="V22" s="74">
        <f t="shared" si="0"/>
        <v>508.5666176725001</v>
      </c>
      <c r="W22" s="90"/>
      <c r="X22" s="85"/>
    </row>
    <row r="23" spans="1:24" ht="13.5" thickBot="1">
      <c r="A23" s="17" t="s">
        <v>18</v>
      </c>
      <c r="B23" s="11"/>
      <c r="C23" s="21">
        <v>17.89468975</v>
      </c>
      <c r="D23" s="21">
        <v>21.32565609</v>
      </c>
      <c r="E23" s="21">
        <v>21.79108674</v>
      </c>
      <c r="F23" s="21">
        <v>40.92459264</v>
      </c>
      <c r="G23" s="22">
        <v>39.53459411</v>
      </c>
      <c r="H23" s="19">
        <v>67.37931370000001</v>
      </c>
      <c r="I23" s="29">
        <v>86.156761</v>
      </c>
      <c r="J23" s="20">
        <v>65.44948326</v>
      </c>
      <c r="K23" s="19">
        <v>82.80032471</v>
      </c>
      <c r="L23" s="19">
        <v>76.483608</v>
      </c>
      <c r="M23" s="19">
        <v>79.2</v>
      </c>
      <c r="N23" s="86">
        <v>106.8762334</v>
      </c>
      <c r="O23" s="86">
        <v>126.86237634</v>
      </c>
      <c r="P23" s="86">
        <f>119.73607283+27.869</f>
        <v>147.60507282999998</v>
      </c>
      <c r="Q23" s="86">
        <v>157.465685</v>
      </c>
      <c r="R23" s="86">
        <v>139.667538</v>
      </c>
      <c r="S23" s="86">
        <f>133.06601234+26.36814516</f>
        <v>159.4341575</v>
      </c>
      <c r="T23" s="86">
        <f>137.30391502+7.37424108</f>
        <v>144.6781561</v>
      </c>
      <c r="U23" s="86">
        <v>151.0231769</v>
      </c>
      <c r="V23" s="74">
        <f t="shared" si="0"/>
        <v>1732.5525060700002</v>
      </c>
      <c r="W23" s="90"/>
      <c r="X23" s="85"/>
    </row>
    <row r="24" spans="1:24" ht="13.5" thickBot="1">
      <c r="A24" s="69" t="s">
        <v>19</v>
      </c>
      <c r="B24" s="11"/>
      <c r="C24" s="21"/>
      <c r="D24" s="21"/>
      <c r="E24" s="21"/>
      <c r="F24" s="21"/>
      <c r="G24" s="22"/>
      <c r="H24" s="19"/>
      <c r="I24" s="29"/>
      <c r="J24" s="20"/>
      <c r="K24" s="19"/>
      <c r="L24" s="19"/>
      <c r="M24" s="19"/>
      <c r="N24" s="86"/>
      <c r="O24" s="86"/>
      <c r="P24" s="86"/>
      <c r="Q24" s="86">
        <v>0.6</v>
      </c>
      <c r="R24" s="86"/>
      <c r="S24" s="86">
        <v>0.6</v>
      </c>
      <c r="T24" s="86">
        <v>0.6</v>
      </c>
      <c r="U24" s="86">
        <v>0.6</v>
      </c>
      <c r="V24" s="74">
        <f t="shared" si="0"/>
        <v>2.4</v>
      </c>
      <c r="W24" s="90"/>
      <c r="X24" s="85"/>
    </row>
    <row r="25" spans="1:24" ht="13.5" thickBot="1">
      <c r="A25" s="69" t="s">
        <v>20</v>
      </c>
      <c r="B25" s="11"/>
      <c r="C25" s="21"/>
      <c r="D25" s="21"/>
      <c r="E25" s="21"/>
      <c r="F25" s="21"/>
      <c r="G25" s="22"/>
      <c r="H25" s="19"/>
      <c r="I25" s="29"/>
      <c r="J25" s="20"/>
      <c r="K25" s="19"/>
      <c r="L25" s="19"/>
      <c r="M25" s="19"/>
      <c r="N25" s="86"/>
      <c r="O25" s="86"/>
      <c r="P25" s="86"/>
      <c r="Q25" s="86"/>
      <c r="R25" s="86">
        <v>2</v>
      </c>
      <c r="S25" s="86">
        <v>2</v>
      </c>
      <c r="T25" s="86"/>
      <c r="U25" s="86"/>
      <c r="V25" s="74">
        <f t="shared" si="0"/>
        <v>4</v>
      </c>
      <c r="W25" s="90"/>
      <c r="X25" s="85"/>
    </row>
    <row r="26" spans="1:24" ht="13.5" thickBot="1">
      <c r="A26" s="25" t="s">
        <v>21</v>
      </c>
      <c r="B26" s="11"/>
      <c r="C26" s="21"/>
      <c r="D26" s="21"/>
      <c r="E26" s="21"/>
      <c r="F26" s="21"/>
      <c r="G26" s="22"/>
      <c r="H26" s="19"/>
      <c r="I26" s="19"/>
      <c r="J26" s="20"/>
      <c r="K26" s="19"/>
      <c r="L26" s="19">
        <v>0.4</v>
      </c>
      <c r="M26" s="19">
        <v>0.3</v>
      </c>
      <c r="N26" s="86">
        <v>0.3</v>
      </c>
      <c r="O26" s="86">
        <v>1</v>
      </c>
      <c r="P26" s="86">
        <v>1</v>
      </c>
      <c r="Q26" s="86">
        <v>4</v>
      </c>
      <c r="R26" s="86">
        <v>4</v>
      </c>
      <c r="S26" s="86">
        <v>4</v>
      </c>
      <c r="T26" s="86">
        <v>4</v>
      </c>
      <c r="U26" s="86"/>
      <c r="V26" s="74">
        <f t="shared" si="0"/>
        <v>19</v>
      </c>
      <c r="W26" s="90"/>
      <c r="X26" s="85"/>
    </row>
    <row r="27" spans="1:24" ht="13.5" thickBot="1">
      <c r="A27" s="64" t="s">
        <v>22</v>
      </c>
      <c r="B27" s="11"/>
      <c r="C27" s="21"/>
      <c r="D27" s="21"/>
      <c r="E27" s="21"/>
      <c r="F27" s="21"/>
      <c r="G27" s="22"/>
      <c r="H27" s="19"/>
      <c r="I27" s="19"/>
      <c r="J27" s="20"/>
      <c r="K27" s="19"/>
      <c r="L27" s="19"/>
      <c r="M27" s="19"/>
      <c r="N27" s="86"/>
      <c r="O27" s="86"/>
      <c r="P27" s="86"/>
      <c r="Q27" s="86"/>
      <c r="R27" s="86">
        <v>2.5</v>
      </c>
      <c r="S27" s="86">
        <f>2.5+2.5</f>
        <v>5</v>
      </c>
      <c r="T27" s="86">
        <f>2.5+2.5</f>
        <v>5</v>
      </c>
      <c r="U27" s="86"/>
      <c r="V27" s="74">
        <f t="shared" si="0"/>
        <v>12.5</v>
      </c>
      <c r="W27" s="90"/>
      <c r="X27" s="85"/>
    </row>
    <row r="28" spans="1:24" ht="13.5" thickBot="1">
      <c r="A28" s="17" t="s">
        <v>23</v>
      </c>
      <c r="B28" s="11"/>
      <c r="C28" s="11"/>
      <c r="D28" s="11"/>
      <c r="E28" s="11"/>
      <c r="F28" s="11"/>
      <c r="G28" s="22"/>
      <c r="H28" s="11"/>
      <c r="I28" s="11"/>
      <c r="J28" s="20">
        <v>40.5362</v>
      </c>
      <c r="K28" s="19"/>
      <c r="L28" s="19"/>
      <c r="M28" s="19">
        <v>2.666</v>
      </c>
      <c r="N28" s="86">
        <v>0</v>
      </c>
      <c r="O28" s="86"/>
      <c r="P28" s="86"/>
      <c r="Q28" s="86"/>
      <c r="R28" s="86"/>
      <c r="S28" s="86"/>
      <c r="T28" s="86"/>
      <c r="U28" s="86"/>
      <c r="V28" s="74">
        <f t="shared" si="0"/>
        <v>43.2022</v>
      </c>
      <c r="W28" s="90"/>
      <c r="X28" s="85"/>
    </row>
    <row r="29" spans="1:24" ht="13.5" thickBot="1">
      <c r="A29" s="17" t="s">
        <v>24</v>
      </c>
      <c r="B29" s="11"/>
      <c r="C29" s="21">
        <v>1.89213259</v>
      </c>
      <c r="D29" s="21">
        <v>1.11479998</v>
      </c>
      <c r="E29" s="21">
        <v>2.38518169</v>
      </c>
      <c r="F29" s="21">
        <v>4.93142988</v>
      </c>
      <c r="G29" s="22">
        <v>12.66340061</v>
      </c>
      <c r="H29" s="19">
        <v>14.59397503</v>
      </c>
      <c r="I29" s="19">
        <v>15.514976</v>
      </c>
      <c r="J29" s="20">
        <v>19.151976</v>
      </c>
      <c r="K29" s="19">
        <v>13.80099952</v>
      </c>
      <c r="L29" s="19">
        <v>36.4874975</v>
      </c>
      <c r="M29" s="19">
        <v>92.7</v>
      </c>
      <c r="N29" s="86">
        <v>0</v>
      </c>
      <c r="O29" s="86">
        <v>70.90008049</v>
      </c>
      <c r="P29" s="86">
        <v>49.84</v>
      </c>
      <c r="Q29" s="86">
        <v>41.475</v>
      </c>
      <c r="R29" s="86">
        <v>36.3912</v>
      </c>
      <c r="S29" s="86">
        <v>33.50457896</v>
      </c>
      <c r="T29" s="86">
        <v>42.43695089</v>
      </c>
      <c r="U29" s="86">
        <f>19.58512008+16.14</f>
        <v>35.725120079999996</v>
      </c>
      <c r="V29" s="74">
        <f t="shared" si="0"/>
        <v>525.50929922</v>
      </c>
      <c r="W29" s="90"/>
      <c r="X29" s="85"/>
    </row>
    <row r="30" spans="1:23" s="54" customFormat="1" ht="13.5" thickBot="1">
      <c r="A30" s="64" t="s">
        <v>25</v>
      </c>
      <c r="B30" s="19"/>
      <c r="C30" s="27"/>
      <c r="D30" s="27"/>
      <c r="E30" s="27"/>
      <c r="F30" s="27"/>
      <c r="G30" s="82"/>
      <c r="H30" s="19"/>
      <c r="I30" s="19"/>
      <c r="J30" s="20"/>
      <c r="K30" s="19"/>
      <c r="L30" s="19"/>
      <c r="M30" s="19"/>
      <c r="N30" s="86"/>
      <c r="O30" s="86"/>
      <c r="P30" s="86"/>
      <c r="Q30" s="86"/>
      <c r="R30" s="86">
        <v>1.5797792</v>
      </c>
      <c r="S30" s="86"/>
      <c r="T30" s="86"/>
      <c r="U30" s="86"/>
      <c r="V30" s="83">
        <f t="shared" si="0"/>
        <v>1.5797792</v>
      </c>
      <c r="W30" s="84"/>
    </row>
    <row r="31" spans="1:24" ht="13.5" thickBot="1">
      <c r="A31" s="17" t="s">
        <v>26</v>
      </c>
      <c r="B31" s="11">
        <v>4.4634</v>
      </c>
      <c r="C31" s="11"/>
      <c r="D31" s="21">
        <v>15.04825</v>
      </c>
      <c r="E31" s="11">
        <v>5.60595</v>
      </c>
      <c r="F31" s="21">
        <v>18.491535</v>
      </c>
      <c r="G31" s="22">
        <v>6.625149</v>
      </c>
      <c r="H31" s="19">
        <v>23.214072</v>
      </c>
      <c r="I31" s="26">
        <v>48.113952</v>
      </c>
      <c r="J31" s="20"/>
      <c r="K31" s="19"/>
      <c r="L31" s="30">
        <v>15.883044</v>
      </c>
      <c r="M31" s="30">
        <v>85.1</v>
      </c>
      <c r="N31" s="31">
        <v>206.88</v>
      </c>
      <c r="O31" s="31">
        <v>447.88005123</v>
      </c>
      <c r="P31" s="31">
        <v>302.55504</v>
      </c>
      <c r="Q31" s="31">
        <f>418.55298+23.91142691</f>
        <v>442.46440691</v>
      </c>
      <c r="R31" s="31">
        <v>304.832</v>
      </c>
      <c r="S31" s="31">
        <v>282.065</v>
      </c>
      <c r="T31" s="31">
        <f>237.859968+15.02140486</f>
        <v>252.88137286</v>
      </c>
      <c r="U31" s="31">
        <v>267.425</v>
      </c>
      <c r="V31" s="74">
        <f t="shared" si="0"/>
        <v>2729.528223</v>
      </c>
      <c r="W31" s="90"/>
      <c r="X31" s="85"/>
    </row>
    <row r="32" spans="1:24" ht="13.5" thickBot="1">
      <c r="A32" s="32" t="s">
        <v>27</v>
      </c>
      <c r="B32" s="33"/>
      <c r="C32" s="34">
        <v>48.092</v>
      </c>
      <c r="D32" s="34">
        <v>53</v>
      </c>
      <c r="E32" s="34">
        <v>58</v>
      </c>
      <c r="F32" s="34">
        <v>59.64</v>
      </c>
      <c r="G32" s="35">
        <v>64.48</v>
      </c>
      <c r="H32" s="36">
        <v>69.3</v>
      </c>
      <c r="I32" s="37">
        <v>69.3</v>
      </c>
      <c r="J32" s="38">
        <v>71.913</v>
      </c>
      <c r="K32" s="36">
        <v>75</v>
      </c>
      <c r="L32" s="36">
        <v>78</v>
      </c>
      <c r="M32" s="36">
        <v>89.8</v>
      </c>
      <c r="N32" s="39">
        <v>130</v>
      </c>
      <c r="O32" s="39">
        <v>137.978655</v>
      </c>
      <c r="P32" s="39">
        <v>175</v>
      </c>
      <c r="Q32" s="39">
        <v>200</v>
      </c>
      <c r="R32" s="39">
        <v>235</v>
      </c>
      <c r="S32" s="39">
        <v>275</v>
      </c>
      <c r="T32" s="39">
        <v>290</v>
      </c>
      <c r="U32" s="39"/>
      <c r="V32" s="74">
        <f t="shared" si="0"/>
        <v>2179.503655</v>
      </c>
      <c r="W32" s="90"/>
      <c r="X32" s="85"/>
    </row>
    <row r="33" spans="1:24" ht="13.5" thickBot="1">
      <c r="A33" s="40" t="s">
        <v>28</v>
      </c>
      <c r="B33" s="41">
        <f aca="true" t="shared" si="1" ref="B33:V33">SUM(B7:B32)</f>
        <v>4.4634</v>
      </c>
      <c r="C33" s="41">
        <f t="shared" si="1"/>
        <v>93.08656439</v>
      </c>
      <c r="D33" s="41">
        <f t="shared" si="1"/>
        <v>106.25498396</v>
      </c>
      <c r="E33" s="41">
        <f t="shared" si="1"/>
        <v>110.91403173</v>
      </c>
      <c r="F33" s="41">
        <f t="shared" si="1"/>
        <v>160.39815135999999</v>
      </c>
      <c r="G33" s="41">
        <f t="shared" si="1"/>
        <v>274.92391606</v>
      </c>
      <c r="H33" s="41">
        <f t="shared" si="1"/>
        <v>216.20010949000005</v>
      </c>
      <c r="I33" s="41">
        <f t="shared" si="1"/>
        <v>282.291378</v>
      </c>
      <c r="J33" s="41">
        <f t="shared" si="1"/>
        <v>269.32929426</v>
      </c>
      <c r="K33" s="41">
        <f t="shared" si="1"/>
        <v>255.98825982</v>
      </c>
      <c r="L33" s="41">
        <f t="shared" si="1"/>
        <v>252.640024</v>
      </c>
      <c r="M33" s="41">
        <f t="shared" si="1"/>
        <v>512.891</v>
      </c>
      <c r="N33" s="41">
        <f t="shared" si="1"/>
        <v>615.20465434</v>
      </c>
      <c r="O33" s="41">
        <f t="shared" si="1"/>
        <v>994.33653315</v>
      </c>
      <c r="P33" s="41">
        <f t="shared" si="1"/>
        <v>920.8076283400001</v>
      </c>
      <c r="Q33" s="41">
        <f t="shared" si="1"/>
        <v>1001.98051419</v>
      </c>
      <c r="R33" s="41">
        <f t="shared" si="1"/>
        <v>1173.25618677</v>
      </c>
      <c r="S33" s="41">
        <f t="shared" si="1"/>
        <v>1125.54416147</v>
      </c>
      <c r="T33" s="41">
        <f t="shared" si="1"/>
        <v>1137.9701698325</v>
      </c>
      <c r="U33" s="41">
        <f t="shared" si="1"/>
        <v>675.3392333300001</v>
      </c>
      <c r="V33" s="41">
        <f t="shared" si="1"/>
        <v>10183.8201944925</v>
      </c>
      <c r="W33" s="24"/>
      <c r="X33" s="85"/>
    </row>
    <row r="34" spans="1:24" s="44" customFormat="1" ht="13.5" thickBot="1">
      <c r="A34" s="42"/>
      <c r="B34" s="43"/>
      <c r="C34" s="43"/>
      <c r="D34" s="43"/>
      <c r="E34" s="43"/>
      <c r="F34" s="43"/>
      <c r="G34" s="43"/>
      <c r="H34" s="43"/>
      <c r="I34" s="43"/>
      <c r="J34" s="43"/>
      <c r="K34" s="43"/>
      <c r="L34" s="43"/>
      <c r="M34" s="43"/>
      <c r="N34" s="43"/>
      <c r="O34" s="43"/>
      <c r="P34" s="43"/>
      <c r="Q34" s="43"/>
      <c r="R34" s="43"/>
      <c r="S34" s="43"/>
      <c r="T34" s="43"/>
      <c r="U34" s="43"/>
      <c r="V34" s="43"/>
      <c r="W34" s="24"/>
      <c r="X34" s="85"/>
    </row>
    <row r="35" spans="1:24" s="87" customFormat="1" ht="13.5" thickBot="1">
      <c r="A35" s="97" t="s">
        <v>53</v>
      </c>
      <c r="B35" s="80"/>
      <c r="C35" s="80"/>
      <c r="D35" s="80"/>
      <c r="E35" s="80"/>
      <c r="F35" s="80"/>
      <c r="G35" s="80"/>
      <c r="H35" s="80"/>
      <c r="I35" s="80"/>
      <c r="J35" s="80"/>
      <c r="K35" s="80"/>
      <c r="L35" s="80"/>
      <c r="M35" s="81"/>
      <c r="N35" s="81"/>
      <c r="O35" s="81"/>
      <c r="P35" s="81"/>
      <c r="Q35" s="81"/>
      <c r="R35" s="81"/>
      <c r="S35" s="81"/>
      <c r="T35" s="81"/>
      <c r="U35" s="81">
        <v>0.35</v>
      </c>
      <c r="V35" s="88">
        <f aca="true" t="shared" si="2" ref="V35:V51">SUM(B35:U35)</f>
        <v>0.35</v>
      </c>
      <c r="W35" s="90"/>
      <c r="X35" s="85"/>
    </row>
    <row r="36" spans="1:24" s="87" customFormat="1" ht="13.5" thickBot="1">
      <c r="A36" s="45" t="s">
        <v>29</v>
      </c>
      <c r="B36" s="91"/>
      <c r="C36" s="91"/>
      <c r="D36" s="91"/>
      <c r="E36" s="91"/>
      <c r="F36" s="91"/>
      <c r="G36" s="91"/>
      <c r="H36" s="91"/>
      <c r="I36" s="91"/>
      <c r="J36" s="91"/>
      <c r="K36" s="91"/>
      <c r="L36" s="91"/>
      <c r="M36" s="92"/>
      <c r="N36" s="92"/>
      <c r="O36" s="92"/>
      <c r="P36" s="92"/>
      <c r="Q36" s="92"/>
      <c r="R36" s="93">
        <v>0.2012</v>
      </c>
      <c r="S36" s="93">
        <v>0.2012</v>
      </c>
      <c r="T36" s="93">
        <v>0.2012</v>
      </c>
      <c r="U36" s="93"/>
      <c r="V36" s="88">
        <f t="shared" si="2"/>
        <v>0.6035999999999999</v>
      </c>
      <c r="W36" s="90"/>
      <c r="X36" s="85"/>
    </row>
    <row r="37" spans="1:24" s="44" customFormat="1" ht="13.5" thickBot="1">
      <c r="A37" s="45" t="s">
        <v>30</v>
      </c>
      <c r="B37" s="91">
        <v>325</v>
      </c>
      <c r="C37" s="91">
        <v>425</v>
      </c>
      <c r="D37" s="91"/>
      <c r="E37" s="91">
        <v>3.5</v>
      </c>
      <c r="F37" s="91">
        <v>5</v>
      </c>
      <c r="G37" s="91">
        <v>154.338</v>
      </c>
      <c r="H37" s="91"/>
      <c r="I37" s="91">
        <v>75</v>
      </c>
      <c r="J37" s="91">
        <v>75</v>
      </c>
      <c r="K37" s="91">
        <v>75</v>
      </c>
      <c r="L37" s="91">
        <v>75</v>
      </c>
      <c r="M37" s="92">
        <v>264.1</v>
      </c>
      <c r="N37" s="92">
        <v>268.8</v>
      </c>
      <c r="O37" s="92">
        <v>283.1</v>
      </c>
      <c r="P37" s="92">
        <f>75+100.6+50</f>
        <v>225.6</v>
      </c>
      <c r="Q37" s="92">
        <v>245</v>
      </c>
      <c r="R37" s="93">
        <f>260+14.6048+2.8952+2.5</f>
        <v>280</v>
      </c>
      <c r="S37" s="93">
        <f>300+13.7578+2.5+3.7422</f>
        <v>320</v>
      </c>
      <c r="T37" s="93">
        <f>325+15</f>
        <v>340</v>
      </c>
      <c r="U37" s="93">
        <v>300</v>
      </c>
      <c r="V37" s="88">
        <f t="shared" si="2"/>
        <v>3739.438</v>
      </c>
      <c r="W37" s="90"/>
      <c r="X37" s="85"/>
    </row>
    <row r="38" spans="1:24" s="87" customFormat="1" ht="26.25" thickBot="1">
      <c r="A38" s="89" t="s">
        <v>31</v>
      </c>
      <c r="B38" s="91"/>
      <c r="C38" s="91"/>
      <c r="D38" s="91"/>
      <c r="E38" s="91"/>
      <c r="F38" s="91"/>
      <c r="G38" s="91"/>
      <c r="H38" s="91"/>
      <c r="I38" s="91"/>
      <c r="J38" s="91"/>
      <c r="K38" s="91"/>
      <c r="L38" s="91"/>
      <c r="M38" s="92"/>
      <c r="N38" s="92"/>
      <c r="O38" s="92"/>
      <c r="P38" s="92"/>
      <c r="Q38" s="93"/>
      <c r="R38" s="93"/>
      <c r="S38" s="93">
        <v>0.5</v>
      </c>
      <c r="T38" s="93">
        <v>0.5</v>
      </c>
      <c r="U38" s="93"/>
      <c r="V38" s="88">
        <f t="shared" si="2"/>
        <v>1</v>
      </c>
      <c r="W38" s="90"/>
      <c r="X38" s="85"/>
    </row>
    <row r="39" spans="1:24" s="44" customFormat="1" ht="13.5" thickBot="1">
      <c r="A39" s="45" t="s">
        <v>32</v>
      </c>
      <c r="B39" s="91"/>
      <c r="C39" s="91"/>
      <c r="D39" s="91"/>
      <c r="E39" s="91"/>
      <c r="F39" s="91"/>
      <c r="G39" s="91"/>
      <c r="H39" s="91"/>
      <c r="I39" s="91"/>
      <c r="J39" s="91"/>
      <c r="K39" s="91"/>
      <c r="L39" s="96"/>
      <c r="M39" s="92"/>
      <c r="N39" s="92">
        <v>3.2</v>
      </c>
      <c r="O39" s="92">
        <v>6.85529526</v>
      </c>
      <c r="P39" s="92">
        <f>4.20525+1.5662+0.0658</f>
        <v>5.837250000000001</v>
      </c>
      <c r="Q39" s="93">
        <f>3.116+0.7803</f>
        <v>3.8963</v>
      </c>
      <c r="R39" s="93">
        <f>0.66092+1.30805+0.622055</f>
        <v>2.591025</v>
      </c>
      <c r="S39" s="93">
        <f>1.35152579+1.33697</f>
        <v>2.68849579</v>
      </c>
      <c r="T39" s="93">
        <v>1.89882</v>
      </c>
      <c r="U39" s="93"/>
      <c r="V39" s="88">
        <f t="shared" si="2"/>
        <v>26.967186050000006</v>
      </c>
      <c r="W39" s="90"/>
      <c r="X39" s="85"/>
    </row>
    <row r="40" spans="1:24" s="44" customFormat="1" ht="26.25" customHeight="1" thickBot="1">
      <c r="A40" s="89" t="s">
        <v>33</v>
      </c>
      <c r="B40" s="91"/>
      <c r="C40" s="91"/>
      <c r="D40" s="91"/>
      <c r="E40" s="91"/>
      <c r="F40" s="91"/>
      <c r="G40" s="91"/>
      <c r="H40" s="91"/>
      <c r="I40" s="91"/>
      <c r="J40" s="91"/>
      <c r="K40" s="91"/>
      <c r="L40" s="91"/>
      <c r="M40" s="92"/>
      <c r="N40" s="92"/>
      <c r="O40" s="92"/>
      <c r="P40" s="92">
        <f>0.8+1.2</f>
        <v>2</v>
      </c>
      <c r="Q40" s="93"/>
      <c r="R40" s="93"/>
      <c r="S40" s="93"/>
      <c r="T40" s="93">
        <v>0.855078</v>
      </c>
      <c r="U40" s="93"/>
      <c r="V40" s="88">
        <f t="shared" si="2"/>
        <v>2.855078</v>
      </c>
      <c r="W40" s="90"/>
      <c r="X40" s="85"/>
    </row>
    <row r="41" spans="1:24" s="44" customFormat="1" ht="26.25" thickBot="1">
      <c r="A41" s="45" t="s">
        <v>34</v>
      </c>
      <c r="B41" s="91"/>
      <c r="C41" s="91"/>
      <c r="D41" s="91"/>
      <c r="E41" s="91"/>
      <c r="F41" s="91"/>
      <c r="G41" s="91"/>
      <c r="H41" s="91"/>
      <c r="I41" s="66"/>
      <c r="J41" s="92"/>
      <c r="K41" s="92"/>
      <c r="L41" s="92"/>
      <c r="M41" s="92">
        <v>14.077608</v>
      </c>
      <c r="N41" s="92">
        <v>8.8254855</v>
      </c>
      <c r="O41" s="92">
        <v>10.096907</v>
      </c>
      <c r="P41" s="92"/>
      <c r="Q41" s="93"/>
      <c r="R41" s="93"/>
      <c r="S41" s="93">
        <v>5</v>
      </c>
      <c r="T41" s="93"/>
      <c r="U41" s="93"/>
      <c r="V41" s="88">
        <f t="shared" si="2"/>
        <v>38.0000005</v>
      </c>
      <c r="W41" s="90"/>
      <c r="X41" s="85"/>
    </row>
    <row r="42" spans="1:24" s="44" customFormat="1" ht="13.5" thickBot="1">
      <c r="A42" s="89" t="s">
        <v>35</v>
      </c>
      <c r="B42" s="91"/>
      <c r="C42" s="91"/>
      <c r="D42" s="91"/>
      <c r="E42" s="91"/>
      <c r="F42" s="91"/>
      <c r="G42" s="91"/>
      <c r="H42" s="91"/>
      <c r="I42" s="66"/>
      <c r="J42" s="92"/>
      <c r="K42" s="92"/>
      <c r="L42" s="92"/>
      <c r="M42" s="92"/>
      <c r="N42" s="79"/>
      <c r="O42" s="92"/>
      <c r="P42" s="92"/>
      <c r="Q42" s="93"/>
      <c r="R42" s="93">
        <f>0.10916441+0.03383559</f>
        <v>0.14300000000000002</v>
      </c>
      <c r="S42" s="93">
        <f>0.075+0.143</f>
        <v>0.21799999999999997</v>
      </c>
      <c r="T42" s="93">
        <f>0.211+0.5+0.143</f>
        <v>0.854</v>
      </c>
      <c r="U42" s="93">
        <v>0.3</v>
      </c>
      <c r="V42" s="88">
        <f t="shared" si="2"/>
        <v>1.515</v>
      </c>
      <c r="W42" s="90"/>
      <c r="X42" s="85"/>
    </row>
    <row r="43" spans="1:24" ht="13.5" thickBot="1">
      <c r="A43" s="17" t="s">
        <v>36</v>
      </c>
      <c r="B43" s="91"/>
      <c r="C43" s="91"/>
      <c r="D43" s="91"/>
      <c r="E43" s="91"/>
      <c r="F43" s="91"/>
      <c r="G43" s="91"/>
      <c r="H43" s="91"/>
      <c r="I43" s="66"/>
      <c r="J43" s="92">
        <v>5.8</v>
      </c>
      <c r="K43" s="92">
        <v>5.9</v>
      </c>
      <c r="L43" s="92">
        <v>4</v>
      </c>
      <c r="M43" s="67">
        <v>3.1</v>
      </c>
      <c r="N43" s="68">
        <v>2.841594</v>
      </c>
      <c r="O43" s="92">
        <v>2.02674185</v>
      </c>
      <c r="P43" s="92">
        <f>0.08282487+1.3589+0.41790755-0.05290269</f>
        <v>1.80672973</v>
      </c>
      <c r="Q43" s="93">
        <f>0.12171144+1.0905+0.10330079+0.00749712</f>
        <v>1.32300935</v>
      </c>
      <c r="R43" s="93">
        <f>0.54553356+0.02381135+1.09579371+0.52189105+0.15054668</f>
        <v>2.3375763500000004</v>
      </c>
      <c r="S43" s="93">
        <f>0.01439096+0.0742438+0.03536211+1.1219873+0.16116763+0.47137176+0.68446473</f>
        <v>2.56298829</v>
      </c>
      <c r="T43" s="93">
        <f>0.50279334+1.14379384</f>
        <v>1.64658718</v>
      </c>
      <c r="U43" s="93">
        <f>2.1173994+1.2991243</f>
        <v>3.4165237</v>
      </c>
      <c r="V43" s="88">
        <f t="shared" si="2"/>
        <v>36.76175045</v>
      </c>
      <c r="W43" s="90"/>
      <c r="X43" s="85"/>
    </row>
    <row r="44" spans="1:24" ht="13.5" thickBot="1">
      <c r="A44" s="46" t="s">
        <v>37</v>
      </c>
      <c r="B44" s="91"/>
      <c r="C44" s="91"/>
      <c r="D44" s="91"/>
      <c r="E44" s="91"/>
      <c r="F44" s="91"/>
      <c r="G44" s="91"/>
      <c r="H44" s="91"/>
      <c r="I44" s="66"/>
      <c r="J44" s="92"/>
      <c r="K44" s="92"/>
      <c r="L44" s="92"/>
      <c r="M44" s="67"/>
      <c r="N44" s="67">
        <v>1.5</v>
      </c>
      <c r="O44" s="67">
        <v>2.5</v>
      </c>
      <c r="P44" s="67">
        <v>2</v>
      </c>
      <c r="Q44" s="76">
        <v>1</v>
      </c>
      <c r="R44" s="76">
        <v>1.2</v>
      </c>
      <c r="S44" s="76">
        <v>1</v>
      </c>
      <c r="T44" s="76"/>
      <c r="U44" s="76">
        <v>2.00005</v>
      </c>
      <c r="V44" s="88">
        <f t="shared" si="2"/>
        <v>11.20005</v>
      </c>
      <c r="W44" s="90"/>
      <c r="X44" s="85"/>
    </row>
    <row r="45" spans="1:24" ht="13.5" thickBot="1">
      <c r="A45" s="63" t="s">
        <v>38</v>
      </c>
      <c r="B45" s="91"/>
      <c r="C45" s="91"/>
      <c r="D45" s="91"/>
      <c r="E45" s="91"/>
      <c r="F45" s="91"/>
      <c r="G45" s="91"/>
      <c r="H45" s="91"/>
      <c r="I45" s="66"/>
      <c r="J45" s="92"/>
      <c r="K45" s="92"/>
      <c r="L45" s="92"/>
      <c r="M45" s="67"/>
      <c r="N45" s="67"/>
      <c r="O45" s="67"/>
      <c r="P45" s="67">
        <f>2+3+2.5</f>
        <v>7.5</v>
      </c>
      <c r="Q45" s="76">
        <f>2.5+2.5+2.5</f>
        <v>7.5</v>
      </c>
      <c r="R45" s="76">
        <f>1.5+1+2.392+0.108+0.5</f>
        <v>5.499999999999999</v>
      </c>
      <c r="S45" s="76">
        <f>2+2+1+2.5+2</f>
        <v>9.5</v>
      </c>
      <c r="T45" s="76"/>
      <c r="U45" s="76"/>
      <c r="V45" s="88">
        <f t="shared" si="2"/>
        <v>30</v>
      </c>
      <c r="W45" s="90"/>
      <c r="X45" s="85"/>
    </row>
    <row r="46" spans="1:24" ht="26.25" thickBot="1">
      <c r="A46" s="47" t="s">
        <v>39</v>
      </c>
      <c r="B46" s="91"/>
      <c r="C46" s="91"/>
      <c r="D46" s="91"/>
      <c r="E46" s="91"/>
      <c r="F46" s="91"/>
      <c r="G46" s="91"/>
      <c r="H46" s="91"/>
      <c r="I46" s="66"/>
      <c r="J46" s="92"/>
      <c r="K46" s="92"/>
      <c r="L46" s="92"/>
      <c r="M46" s="67"/>
      <c r="N46" s="67">
        <v>4.3</v>
      </c>
      <c r="O46" s="67">
        <v>2.2</v>
      </c>
      <c r="P46" s="67">
        <f>12.5+0.2754</f>
        <v>12.7754</v>
      </c>
      <c r="Q46" s="76">
        <v>12.5</v>
      </c>
      <c r="R46" s="76"/>
      <c r="S46" s="76"/>
      <c r="T46" s="76"/>
      <c r="U46" s="76"/>
      <c r="V46" s="88">
        <f t="shared" si="2"/>
        <v>31.775399999999998</v>
      </c>
      <c r="W46" s="90"/>
      <c r="X46" s="85"/>
    </row>
    <row r="47" spans="1:24" ht="26.25" thickBot="1">
      <c r="A47" s="60" t="s">
        <v>40</v>
      </c>
      <c r="B47" s="91"/>
      <c r="C47" s="91"/>
      <c r="D47" s="91"/>
      <c r="E47" s="91"/>
      <c r="F47" s="91"/>
      <c r="G47" s="91"/>
      <c r="H47" s="91"/>
      <c r="I47" s="66"/>
      <c r="J47" s="92"/>
      <c r="K47" s="92"/>
      <c r="L47" s="92"/>
      <c r="M47" s="67"/>
      <c r="N47" s="67"/>
      <c r="O47" s="67">
        <v>0.65</v>
      </c>
      <c r="P47" s="67">
        <v>0.45</v>
      </c>
      <c r="Q47" s="76"/>
      <c r="R47" s="76"/>
      <c r="S47" s="76"/>
      <c r="T47" s="76"/>
      <c r="U47" s="76"/>
      <c r="V47" s="88">
        <f t="shared" si="2"/>
        <v>1.1</v>
      </c>
      <c r="W47" s="90"/>
      <c r="X47" s="85"/>
    </row>
    <row r="48" spans="1:23" s="85" customFormat="1" ht="13.5" thickBot="1">
      <c r="A48" s="60" t="s">
        <v>41</v>
      </c>
      <c r="B48" s="91"/>
      <c r="C48" s="91"/>
      <c r="D48" s="91"/>
      <c r="E48" s="91"/>
      <c r="F48" s="91"/>
      <c r="G48" s="91"/>
      <c r="H48" s="91"/>
      <c r="I48" s="66"/>
      <c r="J48" s="92"/>
      <c r="K48" s="92"/>
      <c r="L48" s="92"/>
      <c r="M48" s="67"/>
      <c r="N48" s="67"/>
      <c r="O48" s="67"/>
      <c r="P48" s="67"/>
      <c r="Q48" s="76"/>
      <c r="R48" s="76"/>
      <c r="S48" s="76"/>
      <c r="T48" s="76">
        <v>1.38582</v>
      </c>
      <c r="U48" s="76"/>
      <c r="V48" s="88">
        <f t="shared" si="2"/>
        <v>1.38582</v>
      </c>
      <c r="W48" s="90"/>
    </row>
    <row r="49" spans="1:24" ht="14.25" customHeight="1" thickBot="1">
      <c r="A49" s="60" t="s">
        <v>42</v>
      </c>
      <c r="B49" s="91"/>
      <c r="C49" s="91"/>
      <c r="D49" s="91"/>
      <c r="E49" s="91"/>
      <c r="F49" s="91"/>
      <c r="G49" s="91"/>
      <c r="H49" s="91"/>
      <c r="I49" s="66"/>
      <c r="J49" s="92"/>
      <c r="K49" s="92"/>
      <c r="L49" s="92"/>
      <c r="M49" s="67"/>
      <c r="N49" s="67"/>
      <c r="O49" s="67"/>
      <c r="P49" s="67"/>
      <c r="Q49" s="76">
        <v>1.05</v>
      </c>
      <c r="R49" s="76">
        <f>0.1+2</f>
        <v>2.1</v>
      </c>
      <c r="S49" s="76">
        <v>2</v>
      </c>
      <c r="T49" s="76">
        <f>0.5+0.5+0.9</f>
        <v>1.9</v>
      </c>
      <c r="U49" s="76"/>
      <c r="V49" s="88">
        <f t="shared" si="2"/>
        <v>7.050000000000001</v>
      </c>
      <c r="W49" s="90"/>
      <c r="X49" s="85"/>
    </row>
    <row r="50" spans="1:24" ht="15" thickBot="1">
      <c r="A50" s="60" t="s">
        <v>43</v>
      </c>
      <c r="B50" s="91"/>
      <c r="C50" s="91"/>
      <c r="D50" s="91"/>
      <c r="E50" s="91"/>
      <c r="F50" s="91"/>
      <c r="G50" s="91"/>
      <c r="H50" s="91"/>
      <c r="I50" s="66"/>
      <c r="J50" s="92"/>
      <c r="K50" s="92"/>
      <c r="L50" s="92"/>
      <c r="M50" s="67"/>
      <c r="N50" s="67"/>
      <c r="O50" s="67"/>
      <c r="P50" s="67"/>
      <c r="Q50" s="76"/>
      <c r="R50" s="76">
        <v>1.0444</v>
      </c>
      <c r="S50" s="76">
        <v>1.10490844</v>
      </c>
      <c r="T50" s="76">
        <v>1.0774045</v>
      </c>
      <c r="U50" s="76"/>
      <c r="V50" s="88">
        <f t="shared" si="2"/>
        <v>3.22671294</v>
      </c>
      <c r="W50" s="90"/>
      <c r="X50" s="85"/>
    </row>
    <row r="51" spans="1:24" ht="15" thickBot="1">
      <c r="A51" s="61" t="s">
        <v>44</v>
      </c>
      <c r="B51" s="92">
        <v>0.02</v>
      </c>
      <c r="C51" s="92"/>
      <c r="D51" s="92">
        <v>1.630361</v>
      </c>
      <c r="E51" s="92">
        <v>2.580847</v>
      </c>
      <c r="F51" s="92">
        <v>1.805051</v>
      </c>
      <c r="G51" s="92">
        <v>0.47348</v>
      </c>
      <c r="H51" s="92">
        <v>1.904352</v>
      </c>
      <c r="I51" s="92">
        <v>1.1</v>
      </c>
      <c r="J51" s="92">
        <v>0.8</v>
      </c>
      <c r="K51" s="92">
        <v>1</v>
      </c>
      <c r="L51" s="92">
        <v>1</v>
      </c>
      <c r="M51" s="92">
        <v>4.188000000000001</v>
      </c>
      <c r="N51" s="92">
        <v>3.4104</v>
      </c>
      <c r="O51" s="92">
        <v>5.73635034</v>
      </c>
      <c r="P51" s="92">
        <v>2.32958709</v>
      </c>
      <c r="Q51" s="93">
        <v>0.85855387</v>
      </c>
      <c r="R51" s="93">
        <v>0.12480490000000002</v>
      </c>
      <c r="S51" s="93">
        <v>0.18140292</v>
      </c>
      <c r="T51" s="93">
        <v>0.0849566</v>
      </c>
      <c r="U51" s="93">
        <f>0.08740102+0.5</f>
        <v>0.5874010199999999</v>
      </c>
      <c r="V51" s="88">
        <f t="shared" si="2"/>
        <v>29.815547740000007</v>
      </c>
      <c r="W51" s="90"/>
      <c r="X51" s="85"/>
    </row>
    <row r="52" spans="1:24" ht="13.5" thickBot="1">
      <c r="A52" s="40" t="s">
        <v>45</v>
      </c>
      <c r="B52" s="48">
        <f aca="true" t="shared" si="3" ref="B52:V52">SUM(B35:B51)</f>
        <v>325.02</v>
      </c>
      <c r="C52" s="48">
        <f t="shared" si="3"/>
        <v>425</v>
      </c>
      <c r="D52" s="48">
        <f t="shared" si="3"/>
        <v>1.630361</v>
      </c>
      <c r="E52" s="48">
        <f t="shared" si="3"/>
        <v>6.080847</v>
      </c>
      <c r="F52" s="48">
        <f t="shared" si="3"/>
        <v>6.805051</v>
      </c>
      <c r="G52" s="48">
        <f t="shared" si="3"/>
        <v>154.81148</v>
      </c>
      <c r="H52" s="48">
        <f t="shared" si="3"/>
        <v>1.904352</v>
      </c>
      <c r="I52" s="48">
        <f t="shared" si="3"/>
        <v>76.1</v>
      </c>
      <c r="J52" s="48">
        <f t="shared" si="3"/>
        <v>81.6</v>
      </c>
      <c r="K52" s="48">
        <f t="shared" si="3"/>
        <v>81.9</v>
      </c>
      <c r="L52" s="48">
        <f t="shared" si="3"/>
        <v>80</v>
      </c>
      <c r="M52" s="48">
        <f t="shared" si="3"/>
        <v>285.46560800000003</v>
      </c>
      <c r="N52" s="48">
        <f t="shared" si="3"/>
        <v>292.8774795</v>
      </c>
      <c r="O52" s="48">
        <f t="shared" si="3"/>
        <v>313.16529445</v>
      </c>
      <c r="P52" s="48">
        <f t="shared" si="3"/>
        <v>260.29896682000003</v>
      </c>
      <c r="Q52" s="48">
        <f t="shared" si="3"/>
        <v>273.12786322</v>
      </c>
      <c r="R52" s="48">
        <f t="shared" si="3"/>
        <v>295.24200625</v>
      </c>
      <c r="S52" s="48">
        <f t="shared" si="3"/>
        <v>344.95699543999996</v>
      </c>
      <c r="T52" s="48">
        <f t="shared" si="3"/>
        <v>350.40386627999993</v>
      </c>
      <c r="U52" s="48">
        <f t="shared" si="3"/>
        <v>306.65397472000006</v>
      </c>
      <c r="V52" s="49">
        <f t="shared" si="3"/>
        <v>3963.04414568</v>
      </c>
      <c r="W52" s="24"/>
      <c r="X52" s="85"/>
    </row>
    <row r="53" spans="1:24" s="44" customFormat="1" ht="13.5" thickBot="1">
      <c r="A53" s="42"/>
      <c r="B53" s="50"/>
      <c r="C53" s="50"/>
      <c r="D53" s="50"/>
      <c r="E53" s="50"/>
      <c r="F53" s="50"/>
      <c r="G53" s="50"/>
      <c r="H53" s="50"/>
      <c r="I53" s="50"/>
      <c r="J53" s="50"/>
      <c r="K53" s="50"/>
      <c r="L53" s="50"/>
      <c r="M53" s="50"/>
      <c r="N53" s="50"/>
      <c r="O53" s="50"/>
      <c r="P53" s="50"/>
      <c r="Q53" s="50"/>
      <c r="R53" s="50"/>
      <c r="S53" s="50"/>
      <c r="T53" s="50"/>
      <c r="U53" s="50"/>
      <c r="V53" s="43"/>
      <c r="W53" s="24"/>
      <c r="X53" s="85"/>
    </row>
    <row r="54" spans="1:24" ht="13.5" thickBot="1">
      <c r="A54" s="51" t="s">
        <v>46</v>
      </c>
      <c r="B54" s="52">
        <f aca="true" t="shared" si="4" ref="B54:V54">B33+B52</f>
        <v>329.48339999999996</v>
      </c>
      <c r="C54" s="52">
        <f t="shared" si="4"/>
        <v>518.08656439</v>
      </c>
      <c r="D54" s="52">
        <f t="shared" si="4"/>
        <v>107.88534496</v>
      </c>
      <c r="E54" s="52">
        <f t="shared" si="4"/>
        <v>116.99487873000001</v>
      </c>
      <c r="F54" s="52">
        <f t="shared" si="4"/>
        <v>167.20320235999998</v>
      </c>
      <c r="G54" s="52">
        <f t="shared" si="4"/>
        <v>429.73539605999997</v>
      </c>
      <c r="H54" s="52">
        <f t="shared" si="4"/>
        <v>218.10446149000003</v>
      </c>
      <c r="I54" s="52">
        <f t="shared" si="4"/>
        <v>358.39137800000003</v>
      </c>
      <c r="J54" s="52">
        <f t="shared" si="4"/>
        <v>350.92929426</v>
      </c>
      <c r="K54" s="52">
        <f t="shared" si="4"/>
        <v>337.88825982000003</v>
      </c>
      <c r="L54" s="52">
        <f t="shared" si="4"/>
        <v>332.64002400000004</v>
      </c>
      <c r="M54" s="52">
        <f t="shared" si="4"/>
        <v>798.356608</v>
      </c>
      <c r="N54" s="52">
        <f t="shared" si="4"/>
        <v>908.0821338400001</v>
      </c>
      <c r="O54" s="52">
        <f t="shared" si="4"/>
        <v>1307.5018276</v>
      </c>
      <c r="P54" s="52">
        <f t="shared" si="4"/>
        <v>1181.10659516</v>
      </c>
      <c r="Q54" s="52">
        <f t="shared" si="4"/>
        <v>1275.10837741</v>
      </c>
      <c r="R54" s="52">
        <f t="shared" si="4"/>
        <v>1468.4981930200001</v>
      </c>
      <c r="S54" s="52">
        <f t="shared" si="4"/>
        <v>1470.50115691</v>
      </c>
      <c r="T54" s="52">
        <f t="shared" si="4"/>
        <v>1488.3740361124999</v>
      </c>
      <c r="U54" s="52">
        <f t="shared" si="4"/>
        <v>981.9932080500001</v>
      </c>
      <c r="V54" s="75">
        <f t="shared" si="4"/>
        <v>14146.8643401725</v>
      </c>
      <c r="W54" s="24"/>
      <c r="X54" s="94"/>
    </row>
    <row r="55" spans="1:24" s="54" customFormat="1" ht="13.5" thickBot="1">
      <c r="A55" s="53"/>
      <c r="B55" s="50"/>
      <c r="C55" s="50"/>
      <c r="D55" s="50"/>
      <c r="E55" s="50"/>
      <c r="F55" s="50"/>
      <c r="G55" s="50"/>
      <c r="H55" s="50"/>
      <c r="I55" s="50"/>
      <c r="J55" s="50"/>
      <c r="K55" s="50"/>
      <c r="L55" s="50"/>
      <c r="M55" s="50"/>
      <c r="N55" s="50"/>
      <c r="O55" s="50"/>
      <c r="P55" s="50"/>
      <c r="Q55" s="78"/>
      <c r="R55" s="78"/>
      <c r="S55" s="78"/>
      <c r="T55" s="78"/>
      <c r="U55" s="78"/>
      <c r="V55" s="50"/>
      <c r="W55" s="24"/>
      <c r="X55" s="85"/>
    </row>
    <row r="56" spans="1:24" ht="15" thickBot="1">
      <c r="A56" s="55" t="s">
        <v>47</v>
      </c>
      <c r="B56" s="41"/>
      <c r="C56" s="41"/>
      <c r="D56" s="41"/>
      <c r="E56" s="41"/>
      <c r="F56" s="41"/>
      <c r="G56" s="41"/>
      <c r="H56" s="41">
        <v>524.749285</v>
      </c>
      <c r="I56" s="41">
        <v>428.268866</v>
      </c>
      <c r="J56" s="41">
        <v>272.638133</v>
      </c>
      <c r="K56" s="41">
        <v>330.027</v>
      </c>
      <c r="L56" s="41">
        <v>320</v>
      </c>
      <c r="M56" s="41">
        <v>300</v>
      </c>
      <c r="N56" s="41">
        <v>100</v>
      </c>
      <c r="O56" s="41">
        <v>200</v>
      </c>
      <c r="P56" s="62">
        <v>0</v>
      </c>
      <c r="Q56" s="62">
        <v>0</v>
      </c>
      <c r="R56" s="62">
        <v>100</v>
      </c>
      <c r="S56" s="62">
        <v>0</v>
      </c>
      <c r="T56" s="62">
        <v>50</v>
      </c>
      <c r="U56" s="62">
        <v>0</v>
      </c>
      <c r="V56" s="62">
        <f>SUM(B56:U56)</f>
        <v>2625.6832839999997</v>
      </c>
      <c r="W56" s="16"/>
      <c r="X56" s="85"/>
    </row>
    <row r="57" spans="1:24" ht="15" thickBot="1">
      <c r="A57" s="55" t="s">
        <v>48</v>
      </c>
      <c r="B57" s="41"/>
      <c r="C57" s="41"/>
      <c r="D57" s="41"/>
      <c r="E57" s="41"/>
      <c r="F57" s="41"/>
      <c r="G57" s="41"/>
      <c r="H57" s="41"/>
      <c r="I57" s="41"/>
      <c r="J57" s="41"/>
      <c r="K57" s="41"/>
      <c r="L57" s="41">
        <v>42.87705</v>
      </c>
      <c r="M57" s="41">
        <f>128165700/1000000</f>
        <v>128.1657</v>
      </c>
      <c r="N57" s="41">
        <v>223.5</v>
      </c>
      <c r="O57" s="41">
        <v>214.42</v>
      </c>
      <c r="P57" s="41">
        <f>25+65+6+36.72+105</f>
        <v>237.72</v>
      </c>
      <c r="Q57" s="41">
        <f>10+100+12.96</f>
        <v>122.96000000000001</v>
      </c>
      <c r="R57" s="41">
        <f>17+73+8.5+8.64</f>
        <v>107.14</v>
      </c>
      <c r="S57" s="41">
        <f>18.21725+16.5</f>
        <v>34.71725</v>
      </c>
      <c r="T57" s="41">
        <f>25+20+11.5425</f>
        <v>56.542500000000004</v>
      </c>
      <c r="U57" s="41">
        <v>55</v>
      </c>
      <c r="V57" s="41">
        <f>SUM(B57:U57)</f>
        <v>1223.0425</v>
      </c>
      <c r="W57" s="16"/>
      <c r="X57" s="95"/>
    </row>
    <row r="58" spans="1:24" s="44" customFormat="1" ht="13.5" thickBot="1">
      <c r="A58" s="53"/>
      <c r="B58" s="43"/>
      <c r="C58" s="43"/>
      <c r="D58" s="43"/>
      <c r="E58" s="43"/>
      <c r="F58" s="43"/>
      <c r="G58" s="43"/>
      <c r="H58" s="43"/>
      <c r="I58" s="43"/>
      <c r="J58" s="43"/>
      <c r="K58" s="43"/>
      <c r="L58" s="43"/>
      <c r="M58" s="43"/>
      <c r="N58" s="43"/>
      <c r="O58" s="43"/>
      <c r="P58" s="43"/>
      <c r="Q58" s="43"/>
      <c r="R58" s="43"/>
      <c r="S58" s="43"/>
      <c r="T58" s="43"/>
      <c r="U58" s="43"/>
      <c r="V58" s="43"/>
      <c r="W58" s="24"/>
      <c r="X58" s="85"/>
    </row>
    <row r="59" spans="1:24" ht="13.5" thickBot="1">
      <c r="A59" s="56" t="s">
        <v>49</v>
      </c>
      <c r="B59" s="57">
        <f aca="true" t="shared" si="5" ref="B59:V59">SUM(B54:B57)</f>
        <v>329.48339999999996</v>
      </c>
      <c r="C59" s="57">
        <f t="shared" si="5"/>
        <v>518.08656439</v>
      </c>
      <c r="D59" s="57">
        <f t="shared" si="5"/>
        <v>107.88534496</v>
      </c>
      <c r="E59" s="57">
        <f t="shared" si="5"/>
        <v>116.99487873000001</v>
      </c>
      <c r="F59" s="57">
        <f t="shared" si="5"/>
        <v>167.20320235999998</v>
      </c>
      <c r="G59" s="57">
        <f t="shared" si="5"/>
        <v>429.73539605999997</v>
      </c>
      <c r="H59" s="57">
        <f t="shared" si="5"/>
        <v>742.85374649</v>
      </c>
      <c r="I59" s="57">
        <f t="shared" si="5"/>
        <v>786.660244</v>
      </c>
      <c r="J59" s="57">
        <f t="shared" si="5"/>
        <v>623.5674272599999</v>
      </c>
      <c r="K59" s="57">
        <f t="shared" si="5"/>
        <v>667.9152598200001</v>
      </c>
      <c r="L59" s="57">
        <f t="shared" si="5"/>
        <v>695.5170740000001</v>
      </c>
      <c r="M59" s="57">
        <f t="shared" si="5"/>
        <v>1226.522308</v>
      </c>
      <c r="N59" s="57">
        <f t="shared" si="5"/>
        <v>1231.58213384</v>
      </c>
      <c r="O59" s="57">
        <f t="shared" si="5"/>
        <v>1721.9218276000001</v>
      </c>
      <c r="P59" s="57">
        <f t="shared" si="5"/>
        <v>1418.8265951600001</v>
      </c>
      <c r="Q59" s="57">
        <f t="shared" si="5"/>
        <v>1398.06837741</v>
      </c>
      <c r="R59" s="57">
        <f t="shared" si="5"/>
        <v>1675.6381930200002</v>
      </c>
      <c r="S59" s="57">
        <f t="shared" si="5"/>
        <v>1505.2184069099999</v>
      </c>
      <c r="T59" s="57">
        <f t="shared" si="5"/>
        <v>1594.9165361125</v>
      </c>
      <c r="U59" s="57">
        <f t="shared" si="5"/>
        <v>1036.9932080500002</v>
      </c>
      <c r="V59" s="57">
        <f t="shared" si="5"/>
        <v>17995.5901241725</v>
      </c>
      <c r="W59" s="24"/>
      <c r="X59" s="94"/>
    </row>
    <row r="60" spans="1:24" ht="12.75">
      <c r="A60" s="85"/>
      <c r="B60" s="58"/>
      <c r="C60" s="58"/>
      <c r="D60" s="58"/>
      <c r="E60" s="58"/>
      <c r="F60" s="58"/>
      <c r="G60" s="58"/>
      <c r="H60" s="58"/>
      <c r="I60" s="58"/>
      <c r="J60" s="58"/>
      <c r="K60" s="58"/>
      <c r="L60" s="58"/>
      <c r="M60" s="58"/>
      <c r="N60" s="58"/>
      <c r="O60" s="58"/>
      <c r="P60" s="58"/>
      <c r="Q60" s="58"/>
      <c r="R60" s="58"/>
      <c r="S60" s="58"/>
      <c r="T60" s="58"/>
      <c r="U60" s="58"/>
      <c r="V60" s="58"/>
      <c r="W60" s="85"/>
      <c r="X60" s="85"/>
    </row>
    <row r="61" spans="1:24" ht="12.75">
      <c r="A61" s="59" t="s">
        <v>50</v>
      </c>
      <c r="B61" s="58"/>
      <c r="C61" s="58"/>
      <c r="D61" s="58"/>
      <c r="E61" s="58"/>
      <c r="F61" s="58"/>
      <c r="G61" s="58"/>
      <c r="H61" s="58"/>
      <c r="I61" s="58"/>
      <c r="J61" s="58"/>
      <c r="K61" s="58"/>
      <c r="L61" s="58"/>
      <c r="M61" s="58"/>
      <c r="N61" s="58"/>
      <c r="O61" s="58"/>
      <c r="P61" s="58"/>
      <c r="Q61" s="58"/>
      <c r="R61" s="58"/>
      <c r="S61" s="58"/>
      <c r="T61" s="58"/>
      <c r="U61" s="58"/>
      <c r="V61" s="58"/>
      <c r="W61" s="85"/>
      <c r="X61" s="85"/>
    </row>
    <row r="62" spans="1:24" ht="28.5" customHeight="1">
      <c r="A62" s="98" t="s">
        <v>55</v>
      </c>
      <c r="B62" s="98"/>
      <c r="C62" s="98"/>
      <c r="D62" s="98"/>
      <c r="E62" s="98"/>
      <c r="F62" s="98"/>
      <c r="G62" s="98"/>
      <c r="H62" s="98"/>
      <c r="I62" s="98"/>
      <c r="J62" s="98"/>
      <c r="K62" s="98"/>
      <c r="L62" s="98"/>
      <c r="M62" s="98"/>
      <c r="N62" s="98"/>
      <c r="O62" s="98"/>
      <c r="P62" s="98"/>
      <c r="Q62" s="98"/>
      <c r="R62" s="98"/>
      <c r="S62" s="98"/>
      <c r="T62" s="98"/>
      <c r="U62" s="98"/>
      <c r="V62" s="98"/>
      <c r="W62" s="85"/>
      <c r="X62" s="85"/>
    </row>
    <row r="63" spans="1:24" ht="15.75" customHeight="1">
      <c r="A63" s="59" t="s">
        <v>54</v>
      </c>
      <c r="B63" s="85"/>
      <c r="C63" s="85"/>
      <c r="D63" s="85"/>
      <c r="E63" s="85"/>
      <c r="F63" s="85"/>
      <c r="G63" s="85"/>
      <c r="H63" s="85"/>
      <c r="I63" s="85"/>
      <c r="J63" s="85"/>
      <c r="K63" s="4"/>
      <c r="L63" s="4"/>
      <c r="M63" s="4"/>
      <c r="N63" s="4"/>
      <c r="O63" s="4"/>
      <c r="P63" s="4"/>
      <c r="Q63" s="4"/>
      <c r="R63" s="4"/>
      <c r="S63" s="4"/>
      <c r="T63" s="4"/>
      <c r="U63" s="4"/>
      <c r="V63" s="85"/>
      <c r="W63" s="85"/>
      <c r="X63" s="85"/>
    </row>
    <row r="64" spans="1:24" ht="15.75" customHeight="1">
      <c r="A64" s="59" t="s">
        <v>51</v>
      </c>
      <c r="B64" s="85"/>
      <c r="C64" s="85"/>
      <c r="D64" s="85"/>
      <c r="E64" s="85"/>
      <c r="F64" s="85"/>
      <c r="G64" s="85"/>
      <c r="H64" s="85"/>
      <c r="I64" s="85"/>
      <c r="J64" s="85"/>
      <c r="K64" s="85"/>
      <c r="L64" s="85"/>
      <c r="M64" s="85"/>
      <c r="N64" s="85"/>
      <c r="O64" s="85"/>
      <c r="P64" s="85"/>
      <c r="Q64" s="85"/>
      <c r="R64" s="85"/>
      <c r="S64" s="85"/>
      <c r="V64" s="85"/>
      <c r="W64" s="85"/>
      <c r="X64" s="85"/>
    </row>
    <row r="67" spans="1:24" ht="42" customHeight="1">
      <c r="A67" s="73" t="s">
        <v>52</v>
      </c>
      <c r="B67" s="85"/>
      <c r="C67" s="85"/>
      <c r="D67" s="85"/>
      <c r="E67" s="85"/>
      <c r="F67" s="85"/>
      <c r="G67" s="85"/>
      <c r="H67" s="85"/>
      <c r="I67" s="85"/>
      <c r="J67" s="85"/>
      <c r="K67" s="85"/>
      <c r="L67" s="85"/>
      <c r="M67" s="85"/>
      <c r="N67" s="85"/>
      <c r="O67" s="85"/>
      <c r="P67" s="85"/>
      <c r="Q67" s="85"/>
      <c r="R67" s="85"/>
      <c r="S67" s="85"/>
      <c r="V67" s="85"/>
      <c r="W67" s="85"/>
      <c r="X67" s="85"/>
    </row>
    <row r="68" spans="1:24" ht="15.75">
      <c r="A68" s="2" t="s">
        <v>56</v>
      </c>
      <c r="B68" s="85"/>
      <c r="C68" s="85"/>
      <c r="D68" s="85"/>
      <c r="E68" s="85"/>
      <c r="F68" s="85"/>
      <c r="G68" s="85"/>
      <c r="H68" s="85"/>
      <c r="I68" s="85"/>
      <c r="J68" s="85"/>
      <c r="K68" s="85"/>
      <c r="L68" s="85"/>
      <c r="M68" s="1"/>
      <c r="N68" s="1"/>
      <c r="O68" s="1"/>
      <c r="P68" s="1"/>
      <c r="Q68" s="1"/>
      <c r="R68" s="1"/>
      <c r="S68" s="1"/>
      <c r="T68" s="1"/>
      <c r="U68" s="1"/>
      <c r="V68" s="85"/>
      <c r="W68" s="85"/>
      <c r="X68" s="85"/>
    </row>
    <row r="69" spans="1:24" ht="15.75">
      <c r="A69" s="3" t="s">
        <v>1</v>
      </c>
      <c r="B69" s="4"/>
      <c r="C69" s="4"/>
      <c r="D69" s="4"/>
      <c r="E69" s="4"/>
      <c r="F69" s="4"/>
      <c r="G69" s="4"/>
      <c r="H69" s="4"/>
      <c r="I69" s="4"/>
      <c r="J69" s="85"/>
      <c r="K69" s="85"/>
      <c r="L69" s="85"/>
      <c r="M69" s="85"/>
      <c r="N69" s="85"/>
      <c r="O69" s="85"/>
      <c r="P69" s="85"/>
      <c r="Q69" s="85"/>
      <c r="R69" s="85"/>
      <c r="S69" s="85"/>
      <c r="V69" s="85"/>
      <c r="W69" s="85"/>
      <c r="X69" s="85"/>
    </row>
    <row r="70" spans="1:24" ht="13.5" thickBot="1">
      <c r="A70" s="85"/>
      <c r="B70" s="85"/>
      <c r="C70" s="85"/>
      <c r="D70" s="85"/>
      <c r="E70" s="85"/>
      <c r="F70" s="85"/>
      <c r="G70" s="85"/>
      <c r="H70" s="85"/>
      <c r="I70" s="85"/>
      <c r="J70" s="85"/>
      <c r="K70" s="85"/>
      <c r="L70" s="85"/>
      <c r="M70" s="85"/>
      <c r="N70" s="85"/>
      <c r="O70" s="85"/>
      <c r="P70" s="85"/>
      <c r="Q70" s="85"/>
      <c r="R70" s="85"/>
      <c r="S70" s="85"/>
      <c r="V70" s="85"/>
      <c r="W70" s="85"/>
      <c r="X70" s="85"/>
    </row>
    <row r="71" spans="1:24" ht="16.5" thickBot="1">
      <c r="A71" s="5"/>
      <c r="B71" s="6">
        <v>2000</v>
      </c>
      <c r="C71" s="6">
        <v>2001</v>
      </c>
      <c r="D71" s="6">
        <v>2002</v>
      </c>
      <c r="E71" s="6">
        <v>2003</v>
      </c>
      <c r="F71" s="6">
        <v>2004</v>
      </c>
      <c r="G71" s="7">
        <v>2005</v>
      </c>
      <c r="H71" s="8">
        <v>2006</v>
      </c>
      <c r="I71" s="7">
        <v>2007</v>
      </c>
      <c r="J71" s="8">
        <v>2008</v>
      </c>
      <c r="K71" s="7">
        <v>2009</v>
      </c>
      <c r="L71" s="7">
        <v>2010</v>
      </c>
      <c r="M71" s="7">
        <v>2011</v>
      </c>
      <c r="N71" s="7">
        <v>2012</v>
      </c>
      <c r="O71" s="7">
        <v>2013</v>
      </c>
      <c r="P71" s="7">
        <v>2014</v>
      </c>
      <c r="Q71" s="7">
        <v>2015</v>
      </c>
      <c r="R71" s="7">
        <v>2016</v>
      </c>
      <c r="S71" s="7">
        <v>2017</v>
      </c>
      <c r="T71" s="7">
        <v>2018</v>
      </c>
      <c r="U71" s="7">
        <v>2019</v>
      </c>
      <c r="V71" s="9" t="s">
        <v>2</v>
      </c>
      <c r="W71" s="85"/>
      <c r="X71" s="85"/>
    </row>
    <row r="72" spans="1:24" ht="13.5" thickBot="1">
      <c r="A72" s="17" t="s">
        <v>18</v>
      </c>
      <c r="B72" s="11"/>
      <c r="C72" s="21"/>
      <c r="D72" s="21"/>
      <c r="E72" s="21"/>
      <c r="F72" s="21"/>
      <c r="G72" s="22"/>
      <c r="H72" s="19"/>
      <c r="I72" s="29"/>
      <c r="J72" s="20"/>
      <c r="K72" s="19"/>
      <c r="L72" s="19"/>
      <c r="M72" s="19"/>
      <c r="N72" s="86"/>
      <c r="O72" s="86"/>
      <c r="P72" s="86">
        <v>30.742</v>
      </c>
      <c r="Q72" s="86">
        <v>24.263</v>
      </c>
      <c r="R72" s="86">
        <v>22.97689</v>
      </c>
      <c r="S72" s="86">
        <v>22.19107685</v>
      </c>
      <c r="T72" s="86">
        <v>24.47917338</v>
      </c>
      <c r="U72" s="86">
        <v>22.3972</v>
      </c>
      <c r="V72" s="74">
        <f>SUM(B72:U72)</f>
        <v>147.04934023</v>
      </c>
      <c r="W72" s="85"/>
      <c r="X72" s="85"/>
    </row>
    <row r="73" spans="1:24" ht="13.5" thickBot="1">
      <c r="A73" s="69" t="s">
        <v>26</v>
      </c>
      <c r="B73" s="11"/>
      <c r="C73" s="21"/>
      <c r="D73" s="21"/>
      <c r="E73" s="21"/>
      <c r="F73" s="21"/>
      <c r="G73" s="22"/>
      <c r="H73" s="19"/>
      <c r="I73" s="29"/>
      <c r="J73" s="20"/>
      <c r="K73" s="19"/>
      <c r="L73" s="19"/>
      <c r="M73" s="19"/>
      <c r="N73" s="86"/>
      <c r="O73" s="86"/>
      <c r="P73" s="86"/>
      <c r="Q73" s="86">
        <v>4.7322</v>
      </c>
      <c r="R73" s="86">
        <v>18.60054</v>
      </c>
      <c r="S73" s="86">
        <v>11.45331</v>
      </c>
      <c r="T73" s="86">
        <v>5.27084</v>
      </c>
      <c r="U73" s="86"/>
      <c r="V73" s="74">
        <f>SUM(B73:U73)</f>
        <v>40.056889999999996</v>
      </c>
      <c r="W73" s="85"/>
      <c r="X73" s="85"/>
    </row>
    <row r="74" spans="1:24" ht="13.5" thickBot="1">
      <c r="A74" s="40" t="s">
        <v>28</v>
      </c>
      <c r="B74" s="41"/>
      <c r="C74" s="41"/>
      <c r="D74" s="41"/>
      <c r="E74" s="41"/>
      <c r="F74" s="41"/>
      <c r="G74" s="41"/>
      <c r="H74" s="41"/>
      <c r="I74" s="41"/>
      <c r="J74" s="41"/>
      <c r="K74" s="41"/>
      <c r="L74" s="41"/>
      <c r="M74" s="41"/>
      <c r="N74" s="41"/>
      <c r="O74" s="41"/>
      <c r="P74" s="41">
        <f aca="true" t="shared" si="6" ref="P74:V74">SUM(P72:P73)</f>
        <v>30.742</v>
      </c>
      <c r="Q74" s="41">
        <f t="shared" si="6"/>
        <v>28.9952</v>
      </c>
      <c r="R74" s="41">
        <f t="shared" si="6"/>
        <v>41.57743</v>
      </c>
      <c r="S74" s="41">
        <f t="shared" si="6"/>
        <v>33.644386850000004</v>
      </c>
      <c r="T74" s="41">
        <f t="shared" si="6"/>
        <v>29.75001338</v>
      </c>
      <c r="U74" s="41">
        <f t="shared" si="6"/>
        <v>22.3972</v>
      </c>
      <c r="V74" s="41">
        <f t="shared" si="6"/>
        <v>187.10623023</v>
      </c>
      <c r="W74" s="85"/>
      <c r="X74" s="85"/>
    </row>
    <row r="75" spans="1:24" ht="13.5" thickBot="1">
      <c r="A75" s="85"/>
      <c r="B75" s="85"/>
      <c r="C75" s="85"/>
      <c r="D75" s="85"/>
      <c r="E75" s="85"/>
      <c r="F75" s="85"/>
      <c r="G75" s="85"/>
      <c r="H75" s="85"/>
      <c r="I75" s="85"/>
      <c r="J75" s="85"/>
      <c r="K75" s="85"/>
      <c r="L75" s="85"/>
      <c r="M75" s="85"/>
      <c r="N75" s="85"/>
      <c r="O75" s="85"/>
      <c r="P75" s="85"/>
      <c r="Q75" s="85"/>
      <c r="R75" s="85"/>
      <c r="S75" s="85"/>
      <c r="V75" s="85"/>
      <c r="W75" s="85"/>
      <c r="X75" s="85"/>
    </row>
    <row r="76" spans="1:24" s="44" customFormat="1" ht="13.5" thickBot="1">
      <c r="A76" s="70" t="s">
        <v>30</v>
      </c>
      <c r="B76" s="71"/>
      <c r="C76" s="71"/>
      <c r="D76" s="71"/>
      <c r="E76" s="71"/>
      <c r="F76" s="71"/>
      <c r="G76" s="71"/>
      <c r="H76" s="71"/>
      <c r="I76" s="71"/>
      <c r="J76" s="71"/>
      <c r="K76" s="71"/>
      <c r="L76" s="71"/>
      <c r="M76" s="72"/>
      <c r="N76" s="72"/>
      <c r="O76" s="72"/>
      <c r="P76" s="72"/>
      <c r="Q76" s="77">
        <v>105</v>
      </c>
      <c r="R76" s="77">
        <v>51.6</v>
      </c>
      <c r="S76" s="77">
        <v>40</v>
      </c>
      <c r="T76" s="77">
        <v>44.6</v>
      </c>
      <c r="U76" s="77"/>
      <c r="V76" s="88">
        <f>SUM(B76:U76)</f>
        <v>241.2</v>
      </c>
      <c r="W76" s="90"/>
      <c r="X76" s="85"/>
    </row>
    <row r="77" spans="1:24" ht="13.5" thickBot="1">
      <c r="A77" s="40" t="s">
        <v>45</v>
      </c>
      <c r="B77" s="48"/>
      <c r="C77" s="48"/>
      <c r="D77" s="48"/>
      <c r="E77" s="48"/>
      <c r="F77" s="48"/>
      <c r="G77" s="48"/>
      <c r="H77" s="48"/>
      <c r="I77" s="48"/>
      <c r="J77" s="48"/>
      <c r="K77" s="48"/>
      <c r="L77" s="48"/>
      <c r="M77" s="48"/>
      <c r="N77" s="48"/>
      <c r="O77" s="48"/>
      <c r="P77" s="48"/>
      <c r="Q77" s="48">
        <f aca="true" t="shared" si="7" ref="Q77:V77">SUM(Q76)</f>
        <v>105</v>
      </c>
      <c r="R77" s="48">
        <f t="shared" si="7"/>
        <v>51.6</v>
      </c>
      <c r="S77" s="48">
        <f t="shared" si="7"/>
        <v>40</v>
      </c>
      <c r="T77" s="48">
        <f t="shared" si="7"/>
        <v>44.6</v>
      </c>
      <c r="U77" s="48">
        <f t="shared" si="7"/>
        <v>0</v>
      </c>
      <c r="V77" s="48">
        <f t="shared" si="7"/>
        <v>241.2</v>
      </c>
      <c r="W77" s="24"/>
      <c r="X77" s="85"/>
    </row>
    <row r="78" spans="1:24" ht="13.5" thickBot="1">
      <c r="A78" s="85"/>
      <c r="B78" s="85"/>
      <c r="C78" s="85"/>
      <c r="D78" s="85"/>
      <c r="E78" s="85"/>
      <c r="F78" s="85"/>
      <c r="G78" s="85"/>
      <c r="H78" s="85"/>
      <c r="I78" s="85"/>
      <c r="J78" s="85"/>
      <c r="K78" s="85"/>
      <c r="L78" s="85"/>
      <c r="M78" s="85"/>
      <c r="N78" s="85"/>
      <c r="O78" s="85"/>
      <c r="P78" s="85"/>
      <c r="Q78" s="85"/>
      <c r="R78" s="85"/>
      <c r="S78" s="85"/>
      <c r="V78" s="85"/>
      <c r="W78" s="85"/>
      <c r="X78" s="85"/>
    </row>
    <row r="79" spans="1:24" ht="13.5" thickBot="1">
      <c r="A79" s="56" t="s">
        <v>49</v>
      </c>
      <c r="B79" s="57"/>
      <c r="C79" s="57"/>
      <c r="D79" s="57"/>
      <c r="E79" s="57"/>
      <c r="F79" s="57"/>
      <c r="G79" s="57"/>
      <c r="H79" s="57"/>
      <c r="I79" s="57"/>
      <c r="J79" s="57"/>
      <c r="K79" s="57"/>
      <c r="L79" s="57"/>
      <c r="M79" s="57"/>
      <c r="N79" s="57"/>
      <c r="O79" s="57"/>
      <c r="P79" s="57">
        <f aca="true" t="shared" si="8" ref="P79:V79">SUM(P74,P77)</f>
        <v>30.742</v>
      </c>
      <c r="Q79" s="57">
        <f t="shared" si="8"/>
        <v>133.9952</v>
      </c>
      <c r="R79" s="57">
        <f t="shared" si="8"/>
        <v>93.17743</v>
      </c>
      <c r="S79" s="57">
        <f t="shared" si="8"/>
        <v>73.64438685</v>
      </c>
      <c r="T79" s="57">
        <f t="shared" si="8"/>
        <v>74.35001338000001</v>
      </c>
      <c r="U79" s="57">
        <f t="shared" si="8"/>
        <v>22.3972</v>
      </c>
      <c r="V79" s="57">
        <f t="shared" si="8"/>
        <v>428.30623023</v>
      </c>
      <c r="W79" s="85"/>
      <c r="X79" s="85"/>
    </row>
    <row r="83" spans="1:24" ht="18" customHeight="1">
      <c r="A83" s="85"/>
      <c r="B83" s="85"/>
      <c r="C83" s="85"/>
      <c r="D83" s="85"/>
      <c r="E83" s="85"/>
      <c r="F83" s="85"/>
      <c r="G83" s="85"/>
      <c r="H83" s="85"/>
      <c r="I83" s="85"/>
      <c r="J83" s="85"/>
      <c r="K83" s="85"/>
      <c r="L83" s="85"/>
      <c r="M83" s="85"/>
      <c r="N83" s="85"/>
      <c r="O83" s="85"/>
      <c r="P83" s="85"/>
      <c r="Q83" s="85"/>
      <c r="R83" s="85"/>
      <c r="S83" s="85"/>
      <c r="V83" s="85"/>
      <c r="W83" s="85"/>
      <c r="X83" s="85"/>
    </row>
  </sheetData>
  <sheetProtection/>
  <mergeCells count="1">
    <mergeCell ref="A62:V62"/>
  </mergeCells>
  <printOptions/>
  <pageMargins left="0.31496062992125984" right="0.31496062992125984" top="0.35433070866141736" bottom="0.35433070866141736" header="0.31496062992125984" footer="0.31496062992125984"/>
  <pageSetup fitToHeight="1" fitToWidth="1" horizontalDpi="600" verticalDpi="600" orientation="portrait" paperSize="9" scale="64" r:id="rId2"/>
  <ignoredErrors>
    <ignoredError sqref="P74:Q74 B33:S33"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Receipts 30 June 2019</dc:title>
  <dc:subject/>
  <dc:creator>Bignell Alister</dc:creator>
  <cp:keywords/>
  <dc:description/>
  <cp:lastModifiedBy>Bignell Alister</cp:lastModifiedBy>
  <dcterms:created xsi:type="dcterms:W3CDTF">2013-01-25T10:21:26Z</dcterms:created>
  <dcterms:modified xsi:type="dcterms:W3CDTF">2019-07-17T15:33:46Z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0x01010091DD660C2743444EACB0CAF77741226300CD6342080A01E84CA9870E8F3E644D78</vt:lpwstr>
  </property>
  <property fmtid="{D5CDD505-2E9C-101B-9397-08002B2CF9AE}" pid="3" name="Author">
    <vt:lpwstr>7;#;UserInfo</vt:lpwstr>
  </property>
  <property fmtid="{D5CDD505-2E9C-101B-9397-08002B2CF9AE}" pid="4" name="Health System Strengthening">
    <vt:lpwstr/>
  </property>
  <property fmtid="{D5CDD505-2E9C-101B-9397-08002B2CF9AE}" pid="5" name="Lang">
    <vt:lpwstr/>
  </property>
  <property fmtid="{D5CDD505-2E9C-101B-9397-08002B2CF9AE}" pid="6" name="TaxKeyword">
    <vt:lpwstr/>
  </property>
  <property fmtid="{D5CDD505-2E9C-101B-9397-08002B2CF9AE}" pid="7" name="Order">
    <vt:r8>100</vt:r8>
  </property>
  <property fmtid="{D5CDD505-2E9C-101B-9397-08002B2CF9AE}" pid="8" name="Topic">
    <vt:lpwstr/>
  </property>
  <property fmtid="{D5CDD505-2E9C-101B-9397-08002B2CF9AE}" pid="9" name="_ShortcutWebId">
    <vt:lpwstr/>
  </property>
  <property fmtid="{D5CDD505-2E9C-101B-9397-08002B2CF9AE}" pid="10" name="_ShortcutUniqueId">
    <vt:lpwstr/>
  </property>
  <property fmtid="{D5CDD505-2E9C-101B-9397-08002B2CF9AE}" pid="11" name="_ShortcutSiteId">
    <vt:lpwstr/>
  </property>
  <property fmtid="{D5CDD505-2E9C-101B-9397-08002B2CF9AE}" pid="12" name="Created">
    <vt:filetime>2013-01-25T09:21:26Z</vt:filetime>
  </property>
  <property fmtid="{D5CDD505-2E9C-101B-9397-08002B2CF9AE}" pid="13" name="Health">
    <vt:lpwstr/>
  </property>
  <property fmtid="{D5CDD505-2E9C-101B-9397-08002B2CF9AE}" pid="14" name="Stakeholder">
    <vt:lpwstr/>
  </property>
  <property fmtid="{D5CDD505-2E9C-101B-9397-08002B2CF9AE}" pid="15" name="Vaccine">
    <vt:lpwstr/>
  </property>
  <property fmtid="{D5CDD505-2E9C-101B-9397-08002B2CF9AE}" pid="16" name="Depto">
    <vt:lpwstr>169;#Finance|70c92294-fade-490c-ae2b-2f46f3fe0636</vt:lpwstr>
  </property>
  <property fmtid="{D5CDD505-2E9C-101B-9397-08002B2CF9AE}" pid="17" name="International_x0020_Development">
    <vt:lpwstr/>
  </property>
  <property fmtid="{D5CDD505-2E9C-101B-9397-08002B2CF9AE}" pid="18" name="Modified">
    <vt:filetime>2016-04-07T14:36:37Z</vt:filetime>
  </property>
  <property fmtid="{D5CDD505-2E9C-101B-9397-08002B2CF9AE}" pid="19" name="Country">
    <vt:lpwstr/>
  </property>
  <property fmtid="{D5CDD505-2E9C-101B-9397-08002B2CF9AE}" pid="20" name="Governance">
    <vt:lpwstr/>
  </property>
  <property fmtid="{D5CDD505-2E9C-101B-9397-08002B2CF9AE}" pid="21" name="Editor">
    <vt:lpwstr>8;#;UserInfo</vt:lpwstr>
  </property>
  <property fmtid="{D5CDD505-2E9C-101B-9397-08002B2CF9AE}" pid="22" name="International Development">
    <vt:lpwstr/>
  </property>
  <property fmtid="{D5CDD505-2E9C-101B-9397-08002B2CF9AE}" pid="23" name="Health_x0020_System_x0020_Strengthening">
    <vt:lpwstr/>
  </property>
  <property fmtid="{D5CDD505-2E9C-101B-9397-08002B2CF9AE}" pid="24" name="Attendees">
    <vt:lpwstr/>
  </property>
  <property fmtid="{D5CDD505-2E9C-101B-9397-08002B2CF9AE}" pid="25" name="Programme and project management">
    <vt:lpwstr/>
  </property>
  <property fmtid="{D5CDD505-2E9C-101B-9397-08002B2CF9AE}" pid="26" name="Programme_x0020_and_x0020_project_x0020_management">
    <vt:lpwstr/>
  </property>
  <property fmtid="{D5CDD505-2E9C-101B-9397-08002B2CF9AE}" pid="27" name="_ShortcutUrl">
    <vt:lpwstr/>
  </property>
  <property fmtid="{D5CDD505-2E9C-101B-9397-08002B2CF9AE}" pid="28" name="_dlc_DocIdItemGuid">
    <vt:lpwstr>351f1758-f65f-4c73-89f3-b40501d44fd3</vt:lpwstr>
  </property>
  <property fmtid="{D5CDD505-2E9C-101B-9397-08002B2CF9AE}" pid="29" name="kfa83adfad8641678ddaedda80d7e126">
    <vt:lpwstr/>
  </property>
  <property fmtid="{D5CDD505-2E9C-101B-9397-08002B2CF9AE}" pid="30" name="Test">
    <vt:lpwstr/>
  </property>
  <property fmtid="{D5CDD505-2E9C-101B-9397-08002B2CF9AE}" pid="31" name="d1cc8e3ce74548b4802b698dbb551d86">
    <vt:lpwstr/>
  </property>
  <property fmtid="{D5CDD505-2E9C-101B-9397-08002B2CF9AE}" pid="32" name="AuthorIds_UIVersion_5">
    <vt:lpwstr>119</vt:lpwstr>
  </property>
  <property fmtid="{D5CDD505-2E9C-101B-9397-08002B2CF9AE}" pid="33" name="AuthorIds_UIVersion_1">
    <vt:lpwstr>119</vt:lpwstr>
  </property>
  <property fmtid="{D5CDD505-2E9C-101B-9397-08002B2CF9AE}" pid="34" name="AuthorIds_UIVersion_2">
    <vt:lpwstr>115</vt:lpwstr>
  </property>
  <property fmtid="{D5CDD505-2E9C-101B-9397-08002B2CF9AE}" pid="35" name="AuthorIds_UIVersion_4">
    <vt:lpwstr>119</vt:lpwstr>
  </property>
  <property fmtid="{D5CDD505-2E9C-101B-9397-08002B2CF9AE}" pid="36" name="e37ceaa0d61b4bfeb3c21883d9680a10">
    <vt:lpwstr>Finance|70c92294-fade-490c-ae2b-2f46f3fe0636</vt:lpwstr>
  </property>
  <property fmtid="{D5CDD505-2E9C-101B-9397-08002B2CF9AE}" pid="37" name="e47ceaa0d61b4bfeb3c21883d9680a10">
    <vt:lpwstr/>
  </property>
  <property fmtid="{D5CDD505-2E9C-101B-9397-08002B2CF9AE}" pid="38" name="e57ceaa0d61b4bfeb3c21883d9680a10">
    <vt:lpwstr/>
  </property>
  <property fmtid="{D5CDD505-2E9C-101B-9397-08002B2CF9AE}" pid="39" name="TaxCatchAll">
    <vt:lpwstr>169;#Finance|70c92294-fade-490c-ae2b-2f46f3fe0636</vt:lpwstr>
  </property>
  <property fmtid="{D5CDD505-2E9C-101B-9397-08002B2CF9AE}" pid="40" name="i4a50af2c0e64ae9b81ffeca8af7ed0f">
    <vt:lpwstr/>
  </property>
  <property fmtid="{D5CDD505-2E9C-101B-9397-08002B2CF9AE}" pid="41" name="e77ceaa0d61b4bfeb3c21883d9680a10">
    <vt:lpwstr/>
  </property>
  <property fmtid="{D5CDD505-2E9C-101B-9397-08002B2CF9AE}" pid="42" name="_dlc_DocId">
    <vt:lpwstr>GAVI-2091783149-495709</vt:lpwstr>
  </property>
  <property fmtid="{D5CDD505-2E9C-101B-9397-08002B2CF9AE}" pid="43" name="_dlc_DocIdUrl">
    <vt:lpwstr>https://gavinet.sharepoint.com/teams/RMP/_layouts/15/DocIdRedir.aspx?ID=GAVI-2091783149-495709, GAVI-2091783149-495709</vt:lpwstr>
  </property>
  <property fmtid="{D5CDD505-2E9C-101B-9397-08002B2CF9AE}" pid="44" name="EktContentLanguage">
    <vt:i4>2057</vt:i4>
  </property>
  <property fmtid="{D5CDD505-2E9C-101B-9397-08002B2CF9AE}" pid="45" name="EktQuickLink">
    <vt:lpwstr>DownloadAsset.aspx?id=2147518383</vt:lpwstr>
  </property>
  <property fmtid="{D5CDD505-2E9C-101B-9397-08002B2CF9AE}" pid="46" name="EktContentType">
    <vt:i4>101</vt:i4>
  </property>
  <property fmtid="{D5CDD505-2E9C-101B-9397-08002B2CF9AE}" pid="47" name="EktContentSubType">
    <vt:i4>0</vt:i4>
  </property>
  <property fmtid="{D5CDD505-2E9C-101B-9397-08002B2CF9AE}" pid="48" name="EktFolderName">
    <vt:lpwstr/>
  </property>
  <property fmtid="{D5CDD505-2E9C-101B-9397-08002B2CF9AE}" pid="49" name="EktCmsPath">
    <vt:lpwstr/>
  </property>
  <property fmtid="{D5CDD505-2E9C-101B-9397-08002B2CF9AE}" pid="50" name="EktExpiryType">
    <vt:i4>1</vt:i4>
  </property>
  <property fmtid="{D5CDD505-2E9C-101B-9397-08002B2CF9AE}" pid="51" name="EktDateCreated">
    <vt:filetime>2019-07-25T08:01:39Z</vt:filetime>
  </property>
  <property fmtid="{D5CDD505-2E9C-101B-9397-08002B2CF9AE}" pid="52" name="EktDateModified">
    <vt:filetime>2019-07-25T08:02:29Z</vt:filetime>
  </property>
  <property fmtid="{D5CDD505-2E9C-101B-9397-08002B2CF9AE}" pid="53" name="EktTaxCategory">
    <vt:lpwstr> #eksep# \Website\Areas\Library\GAVI-documents\Funding\cr #eksep# </vt:lpwstr>
  </property>
  <property fmtid="{D5CDD505-2E9C-101B-9397-08002B2CF9AE}" pid="54" name="EktDisabledTaxCategory">
    <vt:lpwstr/>
  </property>
  <property fmtid="{D5CDD505-2E9C-101B-9397-08002B2CF9AE}" pid="55" name="EktCmsSize">
    <vt:i4>102912</vt:i4>
  </property>
  <property fmtid="{D5CDD505-2E9C-101B-9397-08002B2CF9AE}" pid="56" name="EktSearchable">
    <vt:i4>1</vt:i4>
  </property>
  <property fmtid="{D5CDD505-2E9C-101B-9397-08002B2CF9AE}" pid="57" name="EktEDescription">
    <vt:lpwstr>&amp;lt;p&amp;gt;2000-2019 Cash Receipts  Cash Received by Gavi  in US$ millions  Total  Australia  Canada  China  Denmark  European Commission (EC)  France  Germany  Iceland  India  Ireland  Italy  Japan  Luxembourg  Monaco  Netherlands  Norway   Oman  Qatar  Republic of Korea  Saudi Arabia  Spain  Sweden   Switzerland  United Kingdom&amp;lt;/p&amp;gt;</vt:lpwstr>
  </property>
  <property fmtid="{D5CDD505-2E9C-101B-9397-08002B2CF9AE}" pid="58" name="EktPublicationDate">
    <vt:filetime>2019-06-29T22:00:00Z</vt:filetime>
  </property>
  <property fmtid="{D5CDD505-2E9C-101B-9397-08002B2CF9AE}" pid="59" name="EktArchived">
    <vt:bool>false</vt:bool>
  </property>
  <property fmtid="{D5CDD505-2E9C-101B-9397-08002B2CF9AE}" pid="60" name="EktDate_Unknown">
    <vt:bool>false</vt:bool>
  </property>
  <property fmtid="{D5CDD505-2E9C-101B-9397-08002B2CF9AE}" pid="61" name="EktNoIndex">
    <vt:bool>false</vt:bool>
  </property>
  <property fmtid="{D5CDD505-2E9C-101B-9397-08002B2CF9AE}" pid="62" name="EktNoFollow">
    <vt:bool>false</vt:bool>
  </property>
  <property fmtid="{D5CDD505-2E9C-101B-9397-08002B2CF9AE}" pid="63" name="EktDisableBreadcrumb">
    <vt:bool>false</vt:bool>
  </property>
  <property fmtid="{D5CDD505-2E9C-101B-9397-08002B2CF9AE}" pid="64" name="EktAccelerateForMobile">
    <vt:bool>false</vt:bool>
  </property>
</Properties>
</file>