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00-2018 Cash Receipts" sheetId="1" r:id="rId1"/>
  </sheets>
  <definedNames>
    <definedName name="_xlnm.Print_Area" localSheetId="0">'2000-2018 Cash Receipts'!$A$1:$U$76</definedName>
  </definedNames>
  <calcPr fullCalcOnLoad="1"/>
</workbook>
</file>

<file path=xl/sharedStrings.xml><?xml version="1.0" encoding="utf-8"?>
<sst xmlns="http://schemas.openxmlformats.org/spreadsheetml/2006/main" count="64" uniqueCount="55">
  <si>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</si>
  <si>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</si>
  <si>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</si>
  <si>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</si>
  <si>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</si>
  <si>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</si>
  <si>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</si>
  <si>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</si>
  <si>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</si>
  <si>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</si>
  <si>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</si>
  <si>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</si>
  <si>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</si>
  <si>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</si>
  <si>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</si>
  <si>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</si>
  <si>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</si>
  <si>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</si>
  <si>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</si>
  <si>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</si>
  <si>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</si>
  <si>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</si>
  <si>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</si>
  <si>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</si>
  <si>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</si>
  <si>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</si>
  <si>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</si>
  <si>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</si>
  <si>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</si>
  <si>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</si>
  <si>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</si>
  <si>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</si>
  <si>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t>Oman</t>
  </si>
  <si>
    <t>Alwaleed Philanthropies</t>
  </si>
  <si>
    <t>China</t>
  </si>
  <si>
    <t>France</t>
  </si>
  <si>
    <t>Qatar</t>
  </si>
  <si>
    <t>IFPW</t>
  </si>
  <si>
    <t>Italy</t>
  </si>
  <si>
    <t>Saudi Arabia</t>
  </si>
  <si>
    <t>Switzerland</t>
  </si>
  <si>
    <r>
      <t>Unilever</t>
    </r>
    <r>
      <rPr>
        <vertAlign val="superscript"/>
        <sz val="10"/>
        <rFont val="Arial"/>
        <family val="2"/>
      </rPr>
      <t>1</t>
    </r>
  </si>
  <si>
    <t>1 - Unilever provides resources to Gavi on a leveraged partnership project</t>
  </si>
  <si>
    <r>
      <t>Other private</t>
    </r>
    <r>
      <rPr>
        <vertAlign val="superscript"/>
        <sz val="10"/>
        <rFont val="Arial"/>
        <family val="2"/>
      </rPr>
      <t>2</t>
    </r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</si>
  <si>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</si>
  <si>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</si>
  <si>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4 - AMC Proceeds: cash transfers from the World Bank to Gavi</t>
  </si>
  <si>
    <t>Monaco</t>
  </si>
  <si>
    <t>Red Nose Day Fund</t>
  </si>
  <si>
    <t>China Merchants Charitable Foundation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</si>
  <si>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initially paid to the GAVI Campaign). 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</si>
  <si>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2013-2020)</t>
    </r>
  </si>
  <si>
    <t>3 - IFFIm Proceeds:  cash disbursements from the World Bank: to the GFA (2006-2012), to Gavi (2013-2018)</t>
  </si>
  <si>
    <t>Reckitt Benckiser Group</t>
  </si>
  <si>
    <t>Proceeds, as of 30 June 2018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</si>
</sst>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  <numFmt numFmtId="169" formatCode="0.00000000"/>
    <numFmt numFmtId="170" formatCode="0.0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3" xfId="42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3" fillId="0" borderId="12" xfId="42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17" xfId="46" applyNumberFormat="1" applyFont="1" applyBorder="1" applyAlignment="1">
      <alignment horizontal="right" vertical="center"/>
    </xf>
    <xf numFmtId="164" fontId="3" fillId="33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4" fontId="3" fillId="0" borderId="21" xfId="42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4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4" fillId="34" borderId="10" xfId="46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4" fillId="0" borderId="0" xfId="46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6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horizontal="left" vertical="center"/>
    </xf>
    <xf numFmtId="3" fontId="2" fillId="35" borderId="10" xfId="0" applyNumberFormat="1" applyFont="1" applyFill="1" applyBorder="1" applyAlignment="1">
      <alignment horizontal="left" vertical="center"/>
    </xf>
    <xf numFmtId="164" fontId="4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4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3" fillId="33" borderId="12" xfId="0" applyNumberFormat="1" applyFont="1" applyFill="1" applyBorder="1" applyAlignment="1">
      <alignment vertical="center"/>
    </xf>
    <xf numFmtId="164" fontId="3" fillId="0" borderId="12" xfId="42" applyNumberFormat="1" applyFont="1" applyFill="1" applyBorder="1" applyAlignment="1">
      <alignment vertical="center"/>
    </xf>
    <xf numFmtId="164" fontId="3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/>
    </xf>
    <xf numFmtId="164" fontId="3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4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3" fillId="0" borderId="15" xfId="42" applyNumberFormat="1" applyFont="1" applyFill="1" applyBorder="1" applyAlignment="1">
      <alignment vertical="center"/>
    </xf>
    <xf numFmtId="164" fontId="3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4" fillId="0" borderId="0" xfId="46" applyNumberFormat="1" applyFont="1" applyFill="1" applyBorder="1" applyAlignment="1">
      <alignment horizontal="right" vertical="center"/>
    </xf>
    <xf numFmtId="164" fontId="3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vertical="center"/>
    </xf>
    <xf numFmtId="164" fontId="3" fillId="33" borderId="13" xfId="42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164" fontId="3" fillId="0" borderId="15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vertical="center"/>
    </xf>
    <xf numFmtId="164" fontId="3" fillId="33" borderId="12" xfId="42" applyNumberFormat="1" applyFont="1" applyFill="1" applyBorder="1" applyAlignment="1">
      <alignment vertical="center"/>
    </xf>
    <xf numFmtId="164" fontId="3" fillId="33" borderId="15" xfId="42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Sheet1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6"/>
  <sheetViews>
    <sheetView showGridLines="0" tabSelected="1" zoomScale="90" zoomScaleNormal="9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20" width="8.00390625" style="0" customWidth="1"/>
    <col min="21" max="21" width="11.28125" style="0" customWidth="1"/>
    <col min="22" max="22" width="5.00390625" style="0" customWidth="1"/>
    <col min="23" max="23" width="14.7109375" style="0" customWidth="1"/>
    <col min="24" max="24" width="12.7109375" style="0" bestFit="1" customWidth="1"/>
    <col min="25" max="25" width="10.28125" style="0" customWidth="1"/>
    <col min="26" max="26" width="15.57421875" style="0" bestFit="1" customWidth="1"/>
    <col min="27" max="27" width="13.28125" style="0" bestFit="1" customWidth="1"/>
    <col min="28" max="28" width="12.7109375" style="0" bestFit="1" customWidth="1"/>
  </cols>
  <sheetData>
    <row r="1" ht="70.5" customHeight="1"/>
    <row r="2" spans="1:20" ht="23.25" customHeight="1">
      <c r="A2" s="69" t="s">
        <v>30</v>
      </c>
      <c r="M2" s="1"/>
      <c r="N2" s="1"/>
      <c r="O2" s="1"/>
      <c r="P2" s="1"/>
      <c r="Q2" s="1"/>
      <c r="R2" s="1"/>
      <c r="S2" s="1"/>
      <c r="T2" s="1"/>
    </row>
    <row r="3" spans="1:20" ht="15.75">
      <c r="A3" s="2" t="s">
        <v>54</v>
      </c>
      <c r="M3" s="1"/>
      <c r="N3" s="1"/>
      <c r="O3" s="1"/>
      <c r="P3" s="1"/>
      <c r="Q3" s="1"/>
      <c r="R3" s="1"/>
      <c r="S3" s="1"/>
      <c r="T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82"/>
      <c r="B5" s="4"/>
      <c r="C5" s="4"/>
      <c r="D5" s="4"/>
      <c r="E5" s="4"/>
      <c r="F5" s="4"/>
      <c r="G5" s="4"/>
      <c r="H5" s="4"/>
      <c r="I5" s="4"/>
    </row>
    <row r="6" spans="1:21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7">
        <v>2018</v>
      </c>
      <c r="U6" s="9" t="s">
        <v>0</v>
      </c>
    </row>
    <row r="7" spans="1:22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f>1.852+13.65175</f>
        <v>15.50375</v>
      </c>
      <c r="T7" s="13"/>
      <c r="U7" s="78">
        <f>SUM(B7:T7)</f>
        <v>323.91037500000004</v>
      </c>
      <c r="V7" s="66"/>
    </row>
    <row r="8" spans="1:22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v>77.10330716</v>
      </c>
      <c r="S8" s="21">
        <f>76.26582082+16.27927621</f>
        <v>92.54509703</v>
      </c>
      <c r="T8" s="91">
        <v>76.86314084</v>
      </c>
      <c r="U8" s="78">
        <f aca="true" t="shared" si="0" ref="U8:U30">SUM(B8:T8)</f>
        <v>517.79920752</v>
      </c>
      <c r="V8" s="66"/>
    </row>
    <row r="9" spans="1:22" ht="13.5" thickBot="1">
      <c r="A9" s="73" t="s">
        <v>34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21">
        <v>1</v>
      </c>
      <c r="T9" s="91"/>
      <c r="U9" s="78">
        <f t="shared" si="0"/>
        <v>3</v>
      </c>
      <c r="V9" s="66"/>
    </row>
    <row r="10" spans="1:22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21"/>
      <c r="T10" s="91"/>
      <c r="U10" s="78">
        <f t="shared" si="0"/>
        <v>45.70576185</v>
      </c>
      <c r="V10" s="66"/>
    </row>
    <row r="11" spans="1:22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14.40126</v>
      </c>
      <c r="S11" s="21">
        <v>7.81389</v>
      </c>
      <c r="T11" s="91">
        <v>30.83275</v>
      </c>
      <c r="U11" s="78">
        <f t="shared" si="0"/>
        <v>145.73419651999998</v>
      </c>
      <c r="V11" s="66"/>
    </row>
    <row r="12" spans="1:22" ht="13.5" thickBot="1">
      <c r="A12" s="73" t="s">
        <v>35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v>134.53778</v>
      </c>
      <c r="S12" s="21"/>
      <c r="T12" s="91"/>
      <c r="U12" s="78">
        <f t="shared" si="0"/>
        <v>255.43534391999998</v>
      </c>
      <c r="V12" s="66"/>
    </row>
    <row r="13" spans="1:22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v>115.24406384</v>
      </c>
      <c r="S13" s="21">
        <f>6.73968835+4.13493716+21.6599+11.2108+11.82085255+6.98574453+23.50283884+11.75141942+11.77411421+6.99919409+21.38212304+11.7821</f>
        <v>149.74371219</v>
      </c>
      <c r="T13" s="91">
        <f>12.1637438+3.0409359375+9.1228078125</f>
        <v>24.32748755</v>
      </c>
      <c r="U13" s="78">
        <f t="shared" si="0"/>
        <v>513.59039049</v>
      </c>
      <c r="V13" s="66"/>
    </row>
    <row r="14" spans="1:22" ht="13.5" thickBot="1">
      <c r="A14" s="68" t="s">
        <v>29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>
        <v>1</v>
      </c>
      <c r="S14" s="21"/>
      <c r="T14" s="91">
        <v>2</v>
      </c>
      <c r="U14" s="78">
        <f t="shared" si="0"/>
        <v>6</v>
      </c>
      <c r="V14" s="66"/>
    </row>
    <row r="15" spans="1:22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>
        <v>3.20139</v>
      </c>
      <c r="S15" s="91">
        <v>3.53277749</v>
      </c>
      <c r="T15" s="91"/>
      <c r="U15" s="78">
        <f t="shared" si="0"/>
        <v>51.99313549</v>
      </c>
      <c r="V15" s="66"/>
    </row>
    <row r="16" spans="1:22" ht="13.5" thickBot="1">
      <c r="A16" s="73" t="s">
        <v>38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/>
      <c r="N16" s="21"/>
      <c r="O16" s="21"/>
      <c r="P16" s="21"/>
      <c r="Q16" s="21"/>
      <c r="R16" s="21">
        <v>4.2532</v>
      </c>
      <c r="S16" s="21">
        <v>14.32920461</v>
      </c>
      <c r="T16" s="91">
        <v>32.41812</v>
      </c>
      <c r="U16" s="78">
        <f t="shared" si="0"/>
        <v>51.00052461</v>
      </c>
      <c r="V16" s="66"/>
    </row>
    <row r="17" spans="1:22" ht="13.5" thickBot="1">
      <c r="A17" s="17" t="s">
        <v>7</v>
      </c>
      <c r="B17" s="11"/>
      <c r="C17" s="11"/>
      <c r="D17" s="22"/>
      <c r="E17" s="22"/>
      <c r="F17" s="22"/>
      <c r="G17" s="23"/>
      <c r="H17" s="19"/>
      <c r="I17" s="27"/>
      <c r="J17" s="20"/>
      <c r="K17" s="19"/>
      <c r="L17" s="19"/>
      <c r="M17" s="19">
        <v>9.348</v>
      </c>
      <c r="N17" s="21">
        <v>9.067392</v>
      </c>
      <c r="O17" s="21">
        <v>9.067392</v>
      </c>
      <c r="P17" s="21">
        <v>8.684463</v>
      </c>
      <c r="Q17" s="21">
        <v>17.368928</v>
      </c>
      <c r="R17" s="21">
        <v>18.759418</v>
      </c>
      <c r="S17" s="21">
        <f>0.166666+19</f>
        <v>19.166666</v>
      </c>
      <c r="T17" s="91">
        <v>19</v>
      </c>
      <c r="U17" s="78">
        <f t="shared" si="0"/>
        <v>110.46225899999999</v>
      </c>
      <c r="V17" s="66"/>
    </row>
    <row r="18" spans="1:22" ht="13.5" thickBot="1">
      <c r="A18" s="17" t="s">
        <v>8</v>
      </c>
      <c r="B18" s="11"/>
      <c r="C18" s="11"/>
      <c r="D18" s="22"/>
      <c r="E18" s="22"/>
      <c r="F18" s="28"/>
      <c r="G18" s="29">
        <v>0.64515</v>
      </c>
      <c r="H18" s="19">
        <v>1.318775</v>
      </c>
      <c r="I18" s="27">
        <v>0.81184</v>
      </c>
      <c r="J18" s="20">
        <v>1.4229</v>
      </c>
      <c r="K18" s="19">
        <v>1.19124</v>
      </c>
      <c r="L18" s="19">
        <v>1.10044</v>
      </c>
      <c r="M18" s="19">
        <v>1.186</v>
      </c>
      <c r="N18" s="21">
        <v>1.0752701</v>
      </c>
      <c r="O18" s="21">
        <v>1.0590259</v>
      </c>
      <c r="P18" s="21">
        <v>1.120594</v>
      </c>
      <c r="Q18" s="21">
        <v>0.92074766</v>
      </c>
      <c r="R18" s="21">
        <v>0.89615857</v>
      </c>
      <c r="S18" s="21">
        <v>0.863788</v>
      </c>
      <c r="T18" s="91"/>
      <c r="U18" s="78">
        <f t="shared" si="0"/>
        <v>13.611929230000001</v>
      </c>
      <c r="V18" s="66"/>
    </row>
    <row r="19" spans="1:22" ht="13.5" thickBot="1">
      <c r="A19" s="73" t="s">
        <v>47</v>
      </c>
      <c r="B19" s="11"/>
      <c r="C19" s="11"/>
      <c r="D19" s="22"/>
      <c r="E19" s="22"/>
      <c r="F19" s="28"/>
      <c r="G19" s="29"/>
      <c r="H19" s="19"/>
      <c r="I19" s="27"/>
      <c r="J19" s="20"/>
      <c r="K19" s="19"/>
      <c r="L19" s="19"/>
      <c r="M19" s="19"/>
      <c r="N19" s="21"/>
      <c r="O19" s="21"/>
      <c r="P19" s="21"/>
      <c r="Q19" s="21"/>
      <c r="R19" s="21"/>
      <c r="S19" s="21">
        <v>0.107821</v>
      </c>
      <c r="T19" s="91">
        <v>0.184512</v>
      </c>
      <c r="U19" s="78">
        <f t="shared" si="0"/>
        <v>0.292333</v>
      </c>
      <c r="V19" s="66"/>
    </row>
    <row r="20" spans="1:22" ht="13.5" thickBot="1">
      <c r="A20" s="17" t="s">
        <v>9</v>
      </c>
      <c r="B20" s="11"/>
      <c r="C20" s="11">
        <v>24.06033462</v>
      </c>
      <c r="D20" s="11">
        <v>13.37517187</v>
      </c>
      <c r="E20" s="11">
        <v>16.49264195</v>
      </c>
      <c r="F20" s="22">
        <v>17.32986645</v>
      </c>
      <c r="G20" s="23">
        <v>15.85941435</v>
      </c>
      <c r="H20" s="19"/>
      <c r="I20" s="27">
        <v>33.547469</v>
      </c>
      <c r="J20" s="20">
        <v>38.885301</v>
      </c>
      <c r="K20" s="19">
        <v>31.20579</v>
      </c>
      <c r="L20" s="19">
        <v>25.1113845</v>
      </c>
      <c r="M20" s="19">
        <v>26.3</v>
      </c>
      <c r="N20" s="21">
        <v>14.2065</v>
      </c>
      <c r="O20" s="21">
        <v>34.4275</v>
      </c>
      <c r="P20" s="21">
        <v>39.8048</v>
      </c>
      <c r="Q20" s="21">
        <v>33.9456</v>
      </c>
      <c r="R20" s="21">
        <v>38.309967</v>
      </c>
      <c r="S20" s="21">
        <f>0.68127625+1.17542486+57.47701758</f>
        <v>59.333718690000005</v>
      </c>
      <c r="T20" s="91">
        <f>1.48437318+0.11609+1.102855</f>
        <v>2.70331818</v>
      </c>
      <c r="U20" s="78">
        <f t="shared" si="0"/>
        <v>464.8987776100001</v>
      </c>
      <c r="V20" s="66"/>
    </row>
    <row r="21" spans="1:22" ht="13.5" thickBot="1">
      <c r="A21" s="17" t="s">
        <v>10</v>
      </c>
      <c r="B21" s="11"/>
      <c r="C21" s="22">
        <v>17.89468975</v>
      </c>
      <c r="D21" s="22">
        <v>21.32565609</v>
      </c>
      <c r="E21" s="22">
        <v>21.79108674</v>
      </c>
      <c r="F21" s="22">
        <v>40.92459264</v>
      </c>
      <c r="G21" s="23">
        <v>39.53459411</v>
      </c>
      <c r="H21" s="19">
        <v>67.37931370000001</v>
      </c>
      <c r="I21" s="30">
        <v>86.156761</v>
      </c>
      <c r="J21" s="20">
        <v>65.44948326</v>
      </c>
      <c r="K21" s="19">
        <v>82.80032471</v>
      </c>
      <c r="L21" s="19">
        <v>76.483608</v>
      </c>
      <c r="M21" s="19">
        <v>79.2</v>
      </c>
      <c r="N21" s="21">
        <v>106.8762334</v>
      </c>
      <c r="O21" s="21">
        <v>126.86237634</v>
      </c>
      <c r="P21" s="21">
        <f>119.73607283+27.869</f>
        <v>147.60507282999998</v>
      </c>
      <c r="Q21" s="21">
        <v>157.465685</v>
      </c>
      <c r="R21" s="21">
        <v>139.667538</v>
      </c>
      <c r="S21" s="21">
        <f>133.06601234+26.36814516</f>
        <v>159.4341575</v>
      </c>
      <c r="T21" s="91">
        <v>137.30391502</v>
      </c>
      <c r="U21" s="78">
        <f t="shared" si="0"/>
        <v>1574.1550880900002</v>
      </c>
      <c r="V21" s="66"/>
    </row>
    <row r="22" spans="1:22" ht="13.5" thickBot="1">
      <c r="A22" s="73" t="s">
        <v>32</v>
      </c>
      <c r="B22" s="11"/>
      <c r="C22" s="22"/>
      <c r="D22" s="22"/>
      <c r="E22" s="22"/>
      <c r="F22" s="22"/>
      <c r="G22" s="23"/>
      <c r="H22" s="19"/>
      <c r="I22" s="30"/>
      <c r="J22" s="20"/>
      <c r="K22" s="19"/>
      <c r="L22" s="19"/>
      <c r="M22" s="19"/>
      <c r="N22" s="21"/>
      <c r="O22" s="21"/>
      <c r="P22" s="21"/>
      <c r="Q22" s="21">
        <v>0.6</v>
      </c>
      <c r="R22" s="21"/>
      <c r="S22" s="21">
        <v>0.6</v>
      </c>
      <c r="T22" s="91">
        <v>0.6</v>
      </c>
      <c r="U22" s="78">
        <f t="shared" si="0"/>
        <v>1.7999999999999998</v>
      </c>
      <c r="V22" s="66"/>
    </row>
    <row r="23" spans="1:22" ht="13.5" thickBot="1">
      <c r="A23" s="73" t="s">
        <v>36</v>
      </c>
      <c r="B23" s="11"/>
      <c r="C23" s="22"/>
      <c r="D23" s="22"/>
      <c r="E23" s="22"/>
      <c r="F23" s="22"/>
      <c r="G23" s="23"/>
      <c r="H23" s="19"/>
      <c r="I23" s="30"/>
      <c r="J23" s="20"/>
      <c r="K23" s="19"/>
      <c r="L23" s="19"/>
      <c r="M23" s="19"/>
      <c r="N23" s="21"/>
      <c r="O23" s="21"/>
      <c r="P23" s="21"/>
      <c r="Q23" s="21"/>
      <c r="R23" s="21">
        <v>2</v>
      </c>
      <c r="S23" s="21">
        <v>2</v>
      </c>
      <c r="T23" s="91"/>
      <c r="U23" s="78">
        <f t="shared" si="0"/>
        <v>4</v>
      </c>
      <c r="V23" s="66"/>
    </row>
    <row r="24" spans="1:22" ht="13.5" thickBot="1">
      <c r="A24" s="26" t="s">
        <v>11</v>
      </c>
      <c r="B24" s="11"/>
      <c r="C24" s="22"/>
      <c r="D24" s="22"/>
      <c r="E24" s="22"/>
      <c r="F24" s="22"/>
      <c r="G24" s="23"/>
      <c r="H24" s="19"/>
      <c r="I24" s="19"/>
      <c r="J24" s="20"/>
      <c r="K24" s="19"/>
      <c r="L24" s="19">
        <v>0.4</v>
      </c>
      <c r="M24" s="19">
        <v>0.3</v>
      </c>
      <c r="N24" s="21">
        <v>0.3</v>
      </c>
      <c r="O24" s="21">
        <v>1</v>
      </c>
      <c r="P24" s="21">
        <v>1</v>
      </c>
      <c r="Q24" s="21">
        <v>4</v>
      </c>
      <c r="R24" s="21">
        <v>4</v>
      </c>
      <c r="S24" s="21">
        <v>4</v>
      </c>
      <c r="T24" s="91"/>
      <c r="U24" s="78">
        <f t="shared" si="0"/>
        <v>15</v>
      </c>
      <c r="V24" s="66"/>
    </row>
    <row r="25" spans="1:22" ht="13.5" thickBot="1">
      <c r="A25" s="68" t="s">
        <v>39</v>
      </c>
      <c r="B25" s="11"/>
      <c r="C25" s="22"/>
      <c r="D25" s="22"/>
      <c r="E25" s="22"/>
      <c r="F25" s="22"/>
      <c r="G25" s="23"/>
      <c r="H25" s="19"/>
      <c r="I25" s="19"/>
      <c r="J25" s="20"/>
      <c r="K25" s="19"/>
      <c r="L25" s="19"/>
      <c r="M25" s="19"/>
      <c r="N25" s="21"/>
      <c r="O25" s="21"/>
      <c r="P25" s="21"/>
      <c r="Q25" s="21"/>
      <c r="R25" s="21">
        <v>2.5</v>
      </c>
      <c r="S25" s="21">
        <f>2.5+2.5</f>
        <v>5</v>
      </c>
      <c r="T25" s="91">
        <v>2.5</v>
      </c>
      <c r="U25" s="78">
        <f t="shared" si="0"/>
        <v>10</v>
      </c>
      <c r="V25" s="66"/>
    </row>
    <row r="26" spans="1:22" ht="13.5" thickBot="1">
      <c r="A26" s="17" t="s">
        <v>12</v>
      </c>
      <c r="B26" s="11"/>
      <c r="C26" s="11"/>
      <c r="D26" s="11"/>
      <c r="E26" s="11"/>
      <c r="F26" s="11"/>
      <c r="G26" s="23"/>
      <c r="H26" s="11"/>
      <c r="I26" s="11"/>
      <c r="J26" s="20">
        <v>40.5362</v>
      </c>
      <c r="K26" s="19"/>
      <c r="L26" s="19"/>
      <c r="M26" s="19">
        <v>2.666</v>
      </c>
      <c r="N26" s="21">
        <v>0</v>
      </c>
      <c r="O26" s="21"/>
      <c r="P26" s="21"/>
      <c r="Q26" s="21"/>
      <c r="R26" s="21"/>
      <c r="S26" s="21"/>
      <c r="T26" s="91"/>
      <c r="U26" s="78">
        <f t="shared" si="0"/>
        <v>43.2022</v>
      </c>
      <c r="V26" s="66"/>
    </row>
    <row r="27" spans="1:22" ht="13.5" thickBot="1">
      <c r="A27" s="17" t="s">
        <v>13</v>
      </c>
      <c r="B27" s="11"/>
      <c r="C27" s="22">
        <v>1.89213259</v>
      </c>
      <c r="D27" s="22">
        <v>1.11479998</v>
      </c>
      <c r="E27" s="22">
        <v>2.38518169</v>
      </c>
      <c r="F27" s="22">
        <v>4.93142988</v>
      </c>
      <c r="G27" s="23">
        <v>12.66340061</v>
      </c>
      <c r="H27" s="19">
        <v>14.59397503</v>
      </c>
      <c r="I27" s="19">
        <v>15.514976</v>
      </c>
      <c r="J27" s="20">
        <v>19.151976</v>
      </c>
      <c r="K27" s="19">
        <v>13.80099952</v>
      </c>
      <c r="L27" s="19">
        <v>36.4874975</v>
      </c>
      <c r="M27" s="19">
        <v>92.7</v>
      </c>
      <c r="N27" s="21">
        <v>0</v>
      </c>
      <c r="O27" s="21">
        <v>70.90008049</v>
      </c>
      <c r="P27" s="21">
        <v>49.84</v>
      </c>
      <c r="Q27" s="21">
        <v>41.475</v>
      </c>
      <c r="R27" s="21">
        <v>36.3912</v>
      </c>
      <c r="S27" s="21">
        <v>33.50457896</v>
      </c>
      <c r="T27" s="91">
        <v>42.43695089</v>
      </c>
      <c r="U27" s="78">
        <f t="shared" si="0"/>
        <v>489.78417914000005</v>
      </c>
      <c r="V27" s="66"/>
    </row>
    <row r="28" spans="1:22" s="56" customFormat="1" ht="13.5" thickBot="1">
      <c r="A28" s="68" t="s">
        <v>40</v>
      </c>
      <c r="B28" s="19"/>
      <c r="C28" s="28"/>
      <c r="D28" s="28"/>
      <c r="E28" s="28"/>
      <c r="F28" s="28"/>
      <c r="G28" s="88"/>
      <c r="H28" s="19"/>
      <c r="I28" s="19"/>
      <c r="J28" s="20"/>
      <c r="K28" s="19"/>
      <c r="L28" s="19"/>
      <c r="M28" s="19"/>
      <c r="N28" s="21"/>
      <c r="O28" s="21"/>
      <c r="P28" s="21"/>
      <c r="Q28" s="21"/>
      <c r="R28" s="21">
        <v>1.5797792</v>
      </c>
      <c r="S28" s="21"/>
      <c r="T28" s="91"/>
      <c r="U28" s="89">
        <f t="shared" si="0"/>
        <v>1.5797792</v>
      </c>
      <c r="V28" s="90"/>
    </row>
    <row r="29" spans="1:22" ht="13.5" thickBot="1">
      <c r="A29" s="17" t="s">
        <v>14</v>
      </c>
      <c r="B29" s="11">
        <v>4.4634</v>
      </c>
      <c r="C29" s="11"/>
      <c r="D29" s="22">
        <v>15.04825</v>
      </c>
      <c r="E29" s="11">
        <v>5.60595</v>
      </c>
      <c r="F29" s="22">
        <v>18.491535</v>
      </c>
      <c r="G29" s="23">
        <v>6.625149</v>
      </c>
      <c r="H29" s="19">
        <v>23.214072</v>
      </c>
      <c r="I29" s="27">
        <v>48.113952</v>
      </c>
      <c r="J29" s="20"/>
      <c r="K29" s="19"/>
      <c r="L29" s="31">
        <v>15.883044</v>
      </c>
      <c r="M29" s="31">
        <v>85.1</v>
      </c>
      <c r="N29" s="32">
        <v>206.88</v>
      </c>
      <c r="O29" s="32">
        <v>447.88005123</v>
      </c>
      <c r="P29" s="32">
        <v>302.55504</v>
      </c>
      <c r="Q29" s="32">
        <f>418.55298+23.91142691</f>
        <v>442.46440691</v>
      </c>
      <c r="R29" s="32">
        <v>304.832</v>
      </c>
      <c r="S29" s="32">
        <v>282.065</v>
      </c>
      <c r="T29" s="32">
        <f>237.859968+15.02140486</f>
        <v>252.88137286</v>
      </c>
      <c r="U29" s="78">
        <f t="shared" si="0"/>
        <v>2462.1032229999996</v>
      </c>
      <c r="V29" s="66"/>
    </row>
    <row r="30" spans="1:22" ht="13.5" thickBot="1">
      <c r="A30" s="33" t="s">
        <v>15</v>
      </c>
      <c r="B30" s="34"/>
      <c r="C30" s="35">
        <v>48.092</v>
      </c>
      <c r="D30" s="35">
        <v>53</v>
      </c>
      <c r="E30" s="35">
        <v>58</v>
      </c>
      <c r="F30" s="35">
        <v>59.64</v>
      </c>
      <c r="G30" s="36">
        <v>64.48</v>
      </c>
      <c r="H30" s="37">
        <v>69.3</v>
      </c>
      <c r="I30" s="38">
        <v>69.3</v>
      </c>
      <c r="J30" s="39">
        <v>71.913</v>
      </c>
      <c r="K30" s="37">
        <v>75</v>
      </c>
      <c r="L30" s="37">
        <v>78</v>
      </c>
      <c r="M30" s="37">
        <v>89.8</v>
      </c>
      <c r="N30" s="40">
        <v>130</v>
      </c>
      <c r="O30" s="40">
        <v>137.978655</v>
      </c>
      <c r="P30" s="40">
        <v>175</v>
      </c>
      <c r="Q30" s="40">
        <v>200</v>
      </c>
      <c r="R30" s="40">
        <v>235</v>
      </c>
      <c r="S30" s="40">
        <v>275</v>
      </c>
      <c r="T30" s="40"/>
      <c r="U30" s="78">
        <f t="shared" si="0"/>
        <v>1889.503655</v>
      </c>
      <c r="V30" s="66"/>
    </row>
    <row r="31" spans="1:22" ht="13.5" thickBot="1">
      <c r="A31" s="41" t="s">
        <v>16</v>
      </c>
      <c r="B31" s="42">
        <f aca="true" t="shared" si="1" ref="B31:U31">SUM(B7:B30)</f>
        <v>4.4634</v>
      </c>
      <c r="C31" s="42">
        <f t="shared" si="1"/>
        <v>93.08656439</v>
      </c>
      <c r="D31" s="42">
        <f t="shared" si="1"/>
        <v>106.25498396</v>
      </c>
      <c r="E31" s="42">
        <f t="shared" si="1"/>
        <v>110.91403173</v>
      </c>
      <c r="F31" s="42">
        <f t="shared" si="1"/>
        <v>160.39815135999999</v>
      </c>
      <c r="G31" s="42">
        <f t="shared" si="1"/>
        <v>274.92391606</v>
      </c>
      <c r="H31" s="42">
        <f t="shared" si="1"/>
        <v>216.20010949000005</v>
      </c>
      <c r="I31" s="42">
        <f t="shared" si="1"/>
        <v>282.291378</v>
      </c>
      <c r="J31" s="42">
        <f t="shared" si="1"/>
        <v>269.32929426</v>
      </c>
      <c r="K31" s="42">
        <f t="shared" si="1"/>
        <v>255.98825982</v>
      </c>
      <c r="L31" s="42">
        <f t="shared" si="1"/>
        <v>252.640024</v>
      </c>
      <c r="M31" s="42">
        <f t="shared" si="1"/>
        <v>512.891</v>
      </c>
      <c r="N31" s="42">
        <f t="shared" si="1"/>
        <v>615.20465434</v>
      </c>
      <c r="O31" s="42">
        <f t="shared" si="1"/>
        <v>994.33653315</v>
      </c>
      <c r="P31" s="42">
        <f t="shared" si="1"/>
        <v>920.8076283400001</v>
      </c>
      <c r="Q31" s="42">
        <f t="shared" si="1"/>
        <v>1001.98051419</v>
      </c>
      <c r="R31" s="42">
        <f t="shared" si="1"/>
        <v>1173.25618677</v>
      </c>
      <c r="S31" s="42">
        <f t="shared" si="1"/>
        <v>1125.54416147</v>
      </c>
      <c r="T31" s="42">
        <f t="shared" si="1"/>
        <v>624.05156734</v>
      </c>
      <c r="U31" s="42">
        <f t="shared" si="1"/>
        <v>8994.56235867</v>
      </c>
      <c r="V31" s="25"/>
    </row>
    <row r="32" spans="1:23" s="45" customFormat="1" ht="13.5" thickBo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25"/>
      <c r="W32"/>
    </row>
    <row r="33" spans="1:23" s="45" customFormat="1" ht="13.5" thickBot="1">
      <c r="A33" s="85" t="s">
        <v>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>
        <v>0.2012</v>
      </c>
      <c r="S33" s="87">
        <v>0.2012</v>
      </c>
      <c r="T33" s="87">
        <v>0.2012</v>
      </c>
      <c r="U33" s="46">
        <f aca="true" t="shared" si="2" ref="U33:U48">SUM(B33:T33)</f>
        <v>0.6035999999999999</v>
      </c>
      <c r="V33" s="66"/>
      <c r="W33"/>
    </row>
    <row r="34" spans="1:23" s="45" customFormat="1" ht="13.5" thickBot="1">
      <c r="A34" s="47" t="s">
        <v>17</v>
      </c>
      <c r="B34" s="94">
        <v>325</v>
      </c>
      <c r="C34" s="94">
        <v>425</v>
      </c>
      <c r="D34" s="94"/>
      <c r="E34" s="94">
        <v>3.5</v>
      </c>
      <c r="F34" s="94">
        <v>5</v>
      </c>
      <c r="G34" s="94">
        <v>154.338</v>
      </c>
      <c r="H34" s="94"/>
      <c r="I34" s="94">
        <v>75</v>
      </c>
      <c r="J34" s="94">
        <v>75</v>
      </c>
      <c r="K34" s="94">
        <v>75</v>
      </c>
      <c r="L34" s="94">
        <v>75</v>
      </c>
      <c r="M34" s="95">
        <v>264.1</v>
      </c>
      <c r="N34" s="95">
        <v>268.8</v>
      </c>
      <c r="O34" s="95">
        <v>283.1</v>
      </c>
      <c r="P34" s="95">
        <f>75+100.6+50</f>
        <v>225.6</v>
      </c>
      <c r="Q34" s="95">
        <v>245</v>
      </c>
      <c r="R34" s="96">
        <f>260+14.6048+2.8952+2.5</f>
        <v>280</v>
      </c>
      <c r="S34" s="96">
        <f>300+13.7578+2.5+3.7422</f>
        <v>320</v>
      </c>
      <c r="T34" s="96">
        <v>325</v>
      </c>
      <c r="U34" s="46">
        <f t="shared" si="2"/>
        <v>3424.438</v>
      </c>
      <c r="V34" s="66"/>
      <c r="W34"/>
    </row>
    <row r="35" spans="1:23" s="45" customFormat="1" ht="26.25" thickBot="1">
      <c r="A35" s="93" t="s">
        <v>49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6"/>
      <c r="R35" s="96"/>
      <c r="S35" s="96">
        <v>0.5</v>
      </c>
      <c r="T35" s="96"/>
      <c r="U35" s="92">
        <f t="shared" si="2"/>
        <v>0.5</v>
      </c>
      <c r="V35" s="66"/>
      <c r="W35"/>
    </row>
    <row r="36" spans="1:23" s="45" customFormat="1" ht="13.5" thickBot="1">
      <c r="A36" s="47" t="s">
        <v>18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95">
        <v>3.2</v>
      </c>
      <c r="O36" s="95">
        <v>6.85529526</v>
      </c>
      <c r="P36" s="95">
        <f>4.20525+1.5662+0.0658</f>
        <v>5.837250000000001</v>
      </c>
      <c r="Q36" s="96">
        <f>3.116+0.7803</f>
        <v>3.8963</v>
      </c>
      <c r="R36" s="96">
        <f>0.66092+1.30805+0.622055</f>
        <v>2.591025</v>
      </c>
      <c r="S36" s="96">
        <f>1.35152579+1.33697</f>
        <v>2.68849579</v>
      </c>
      <c r="T36" s="96">
        <v>0.5</v>
      </c>
      <c r="U36" s="46">
        <f t="shared" si="2"/>
        <v>25.568366050000005</v>
      </c>
      <c r="V36" s="66"/>
      <c r="W36"/>
    </row>
    <row r="37" spans="1:23" s="45" customFormat="1" ht="26.25" customHeight="1" thickBot="1">
      <c r="A37" s="62" t="s">
        <v>27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95"/>
      <c r="O37" s="95"/>
      <c r="P37" s="95">
        <f>0.8+1.2</f>
        <v>2</v>
      </c>
      <c r="Q37" s="96"/>
      <c r="R37" s="96"/>
      <c r="S37" s="96"/>
      <c r="T37" s="96">
        <v>0.855078</v>
      </c>
      <c r="U37" s="46">
        <f t="shared" si="2"/>
        <v>2.855078</v>
      </c>
      <c r="V37" s="66"/>
      <c r="W37"/>
    </row>
    <row r="38" spans="1:23" s="45" customFormat="1" ht="26.25" thickBot="1">
      <c r="A38" s="47" t="s">
        <v>19</v>
      </c>
      <c r="B38" s="94"/>
      <c r="C38" s="94"/>
      <c r="D38" s="94"/>
      <c r="E38" s="94"/>
      <c r="F38" s="94"/>
      <c r="G38" s="94"/>
      <c r="H38" s="94"/>
      <c r="I38" s="70"/>
      <c r="J38" s="95"/>
      <c r="K38" s="95"/>
      <c r="L38" s="95"/>
      <c r="M38" s="95">
        <v>14.077608</v>
      </c>
      <c r="N38" s="95">
        <v>8.8254855</v>
      </c>
      <c r="O38" s="95">
        <v>10.096907</v>
      </c>
      <c r="P38" s="95"/>
      <c r="Q38" s="96"/>
      <c r="R38" s="96"/>
      <c r="S38" s="96">
        <v>5</v>
      </c>
      <c r="T38" s="96"/>
      <c r="U38" s="46">
        <f t="shared" si="2"/>
        <v>38.0000005</v>
      </c>
      <c r="V38" s="66"/>
      <c r="W38"/>
    </row>
    <row r="39" spans="1:23" s="45" customFormat="1" ht="13.5" thickBot="1">
      <c r="A39" s="62" t="s">
        <v>37</v>
      </c>
      <c r="B39" s="94"/>
      <c r="C39" s="94"/>
      <c r="D39" s="94"/>
      <c r="E39" s="94"/>
      <c r="F39" s="94"/>
      <c r="G39" s="94"/>
      <c r="H39" s="94"/>
      <c r="I39" s="70"/>
      <c r="J39" s="95"/>
      <c r="K39" s="95"/>
      <c r="L39" s="95"/>
      <c r="M39" s="95"/>
      <c r="N39" s="84"/>
      <c r="O39" s="95"/>
      <c r="P39" s="95"/>
      <c r="Q39" s="96"/>
      <c r="R39" s="96">
        <f>0.10916441+0.03383559</f>
        <v>0.14300000000000002</v>
      </c>
      <c r="S39" s="96">
        <f>0.075+0.143</f>
        <v>0.21799999999999997</v>
      </c>
      <c r="T39" s="96">
        <f>0.211+0.5</f>
        <v>0.711</v>
      </c>
      <c r="U39" s="46">
        <f t="shared" si="2"/>
        <v>1.072</v>
      </c>
      <c r="V39" s="66"/>
      <c r="W39"/>
    </row>
    <row r="40" spans="1:22" ht="13.5" thickBot="1">
      <c r="A40" s="17" t="s">
        <v>20</v>
      </c>
      <c r="B40" s="94"/>
      <c r="C40" s="94"/>
      <c r="D40" s="94"/>
      <c r="E40" s="94"/>
      <c r="F40" s="94"/>
      <c r="G40" s="94"/>
      <c r="H40" s="94"/>
      <c r="I40" s="70"/>
      <c r="J40" s="95">
        <v>5.8</v>
      </c>
      <c r="K40" s="95">
        <v>5.9</v>
      </c>
      <c r="L40" s="95">
        <v>4</v>
      </c>
      <c r="M40" s="71">
        <v>3.1</v>
      </c>
      <c r="N40" s="72">
        <v>2.841594</v>
      </c>
      <c r="O40" s="95">
        <v>2.02674185</v>
      </c>
      <c r="P40" s="95">
        <f>0.08282487+1.3589+0.41790755-0.05290269</f>
        <v>1.80672973</v>
      </c>
      <c r="Q40" s="96">
        <f>0.12171144+1.0905+0.10330079+0.00749712</f>
        <v>1.32300935</v>
      </c>
      <c r="R40" s="96">
        <f>0.54553356+0.02381135+1.09579371+0.52189105+0.15054668</f>
        <v>2.3375763500000004</v>
      </c>
      <c r="S40" s="96">
        <f>0.01439096+0.0742438+0.03536211+1.1219873+0.16116763+0.47137176+0.68446473</f>
        <v>2.56298829</v>
      </c>
      <c r="T40" s="96">
        <v>0.50279334</v>
      </c>
      <c r="U40" s="46">
        <f t="shared" si="2"/>
        <v>32.20143291</v>
      </c>
      <c r="V40" s="66"/>
    </row>
    <row r="41" spans="1:22" ht="13.5" thickBot="1">
      <c r="A41" s="48" t="s">
        <v>21</v>
      </c>
      <c r="B41" s="94"/>
      <c r="C41" s="94"/>
      <c r="D41" s="94"/>
      <c r="E41" s="94"/>
      <c r="F41" s="94"/>
      <c r="G41" s="94"/>
      <c r="H41" s="94"/>
      <c r="I41" s="70"/>
      <c r="J41" s="95"/>
      <c r="K41" s="95"/>
      <c r="L41" s="95"/>
      <c r="M41" s="71"/>
      <c r="N41" s="71">
        <v>1.5</v>
      </c>
      <c r="O41" s="71">
        <v>2.5</v>
      </c>
      <c r="P41" s="71">
        <v>2</v>
      </c>
      <c r="Q41" s="80">
        <v>1</v>
      </c>
      <c r="R41" s="80">
        <v>1.2</v>
      </c>
      <c r="S41" s="80">
        <v>1</v>
      </c>
      <c r="T41" s="80"/>
      <c r="U41" s="46">
        <f t="shared" si="2"/>
        <v>9.2</v>
      </c>
      <c r="V41" s="66"/>
    </row>
    <row r="42" spans="1:22" ht="13.5" thickBot="1">
      <c r="A42" s="67" t="s">
        <v>28</v>
      </c>
      <c r="B42" s="94"/>
      <c r="C42" s="94"/>
      <c r="D42" s="94"/>
      <c r="E42" s="94"/>
      <c r="F42" s="94"/>
      <c r="G42" s="94"/>
      <c r="H42" s="94"/>
      <c r="I42" s="70"/>
      <c r="J42" s="95"/>
      <c r="K42" s="95"/>
      <c r="L42" s="95"/>
      <c r="M42" s="71"/>
      <c r="N42" s="71"/>
      <c r="O42" s="71"/>
      <c r="P42" s="71">
        <f>2+3+2.5</f>
        <v>7.5</v>
      </c>
      <c r="Q42" s="80">
        <f>2.5+2.5+2.5</f>
        <v>7.5</v>
      </c>
      <c r="R42" s="80">
        <f>1.5+1+2.392+0.108+0.5</f>
        <v>5.499999999999999</v>
      </c>
      <c r="S42" s="80">
        <f>2+2+1+2.5+2</f>
        <v>9.5</v>
      </c>
      <c r="T42" s="80"/>
      <c r="U42" s="46">
        <f t="shared" si="2"/>
        <v>30</v>
      </c>
      <c r="V42" s="66"/>
    </row>
    <row r="43" spans="1:22" ht="26.25" thickBot="1">
      <c r="A43" s="49" t="s">
        <v>22</v>
      </c>
      <c r="B43" s="94"/>
      <c r="C43" s="94"/>
      <c r="D43" s="94"/>
      <c r="E43" s="94"/>
      <c r="F43" s="94"/>
      <c r="G43" s="94"/>
      <c r="H43" s="94"/>
      <c r="I43" s="70"/>
      <c r="J43" s="95"/>
      <c r="K43" s="95"/>
      <c r="L43" s="95"/>
      <c r="M43" s="71"/>
      <c r="N43" s="71">
        <v>4.3</v>
      </c>
      <c r="O43" s="71">
        <v>2.2</v>
      </c>
      <c r="P43" s="71">
        <f>12.5+0.2754</f>
        <v>12.7754</v>
      </c>
      <c r="Q43" s="80">
        <v>12.5</v>
      </c>
      <c r="R43" s="80"/>
      <c r="S43" s="80"/>
      <c r="T43" s="80"/>
      <c r="U43" s="46">
        <f t="shared" si="2"/>
        <v>31.775399999999998</v>
      </c>
      <c r="V43" s="66"/>
    </row>
    <row r="44" spans="1:22" ht="26.25" thickBot="1">
      <c r="A44" s="63" t="s">
        <v>26</v>
      </c>
      <c r="B44" s="94"/>
      <c r="C44" s="94"/>
      <c r="D44" s="94"/>
      <c r="E44" s="94"/>
      <c r="F44" s="94"/>
      <c r="G44" s="94"/>
      <c r="H44" s="94"/>
      <c r="I44" s="70"/>
      <c r="J44" s="95"/>
      <c r="K44" s="95"/>
      <c r="L44" s="95"/>
      <c r="M44" s="71"/>
      <c r="N44" s="71"/>
      <c r="O44" s="71">
        <v>0.65</v>
      </c>
      <c r="P44" s="71">
        <v>0.45</v>
      </c>
      <c r="Q44" s="80"/>
      <c r="R44" s="80"/>
      <c r="S44" s="80"/>
      <c r="T44" s="80"/>
      <c r="U44" s="46">
        <f t="shared" si="2"/>
        <v>1.1</v>
      </c>
      <c r="V44" s="66"/>
    </row>
    <row r="45" spans="1:22" ht="13.5" thickBot="1">
      <c r="A45" s="63" t="s">
        <v>53</v>
      </c>
      <c r="B45" s="94"/>
      <c r="C45" s="94"/>
      <c r="D45" s="94"/>
      <c r="E45" s="94"/>
      <c r="F45" s="94"/>
      <c r="G45" s="94"/>
      <c r="H45" s="94"/>
      <c r="I45" s="70"/>
      <c r="J45" s="95"/>
      <c r="K45" s="95"/>
      <c r="L45" s="95"/>
      <c r="M45" s="71"/>
      <c r="N45" s="71"/>
      <c r="O45" s="71"/>
      <c r="P45" s="71"/>
      <c r="Q45" s="80"/>
      <c r="R45" s="80"/>
      <c r="S45" s="80"/>
      <c r="T45" s="80">
        <v>1.38582</v>
      </c>
      <c r="U45" s="92">
        <f t="shared" si="2"/>
        <v>1.38582</v>
      </c>
      <c r="V45" s="66"/>
    </row>
    <row r="46" spans="1:22" ht="14.25" customHeight="1" thickBot="1">
      <c r="A46" s="63" t="s">
        <v>48</v>
      </c>
      <c r="B46" s="94"/>
      <c r="C46" s="94"/>
      <c r="D46" s="94"/>
      <c r="E46" s="94"/>
      <c r="F46" s="94"/>
      <c r="G46" s="94"/>
      <c r="H46" s="94"/>
      <c r="I46" s="70"/>
      <c r="J46" s="95"/>
      <c r="K46" s="95"/>
      <c r="L46" s="95"/>
      <c r="M46" s="71"/>
      <c r="N46" s="71"/>
      <c r="O46" s="71"/>
      <c r="P46" s="71"/>
      <c r="Q46" s="80">
        <v>1.05</v>
      </c>
      <c r="R46" s="80">
        <f>0.1+2</f>
        <v>2.1</v>
      </c>
      <c r="S46" s="80">
        <v>2</v>
      </c>
      <c r="T46" s="80">
        <v>0.5</v>
      </c>
      <c r="U46" s="46">
        <f t="shared" si="2"/>
        <v>5.65</v>
      </c>
      <c r="V46" s="66"/>
    </row>
    <row r="47" spans="1:22" ht="15" thickBot="1">
      <c r="A47" s="63" t="s">
        <v>41</v>
      </c>
      <c r="B47" s="94"/>
      <c r="C47" s="94"/>
      <c r="D47" s="94"/>
      <c r="E47" s="94"/>
      <c r="F47" s="94"/>
      <c r="G47" s="94"/>
      <c r="H47" s="94"/>
      <c r="I47" s="70"/>
      <c r="J47" s="95"/>
      <c r="K47" s="95"/>
      <c r="L47" s="95"/>
      <c r="M47" s="71"/>
      <c r="N47" s="71"/>
      <c r="O47" s="71"/>
      <c r="P47" s="71"/>
      <c r="Q47" s="80"/>
      <c r="R47" s="80">
        <v>1.0444</v>
      </c>
      <c r="S47" s="80">
        <v>1.10490844</v>
      </c>
      <c r="T47" s="80"/>
      <c r="U47" s="46">
        <f t="shared" si="2"/>
        <v>2.14930844</v>
      </c>
      <c r="V47" s="66"/>
    </row>
    <row r="48" spans="1:22" ht="15" thickBot="1">
      <c r="A48" s="64" t="s">
        <v>43</v>
      </c>
      <c r="B48" s="95">
        <v>0.02</v>
      </c>
      <c r="C48" s="95"/>
      <c r="D48" s="95">
        <v>1.630361</v>
      </c>
      <c r="E48" s="95">
        <v>2.580847</v>
      </c>
      <c r="F48" s="95">
        <v>1.805051</v>
      </c>
      <c r="G48" s="95">
        <v>0.47348</v>
      </c>
      <c r="H48" s="95">
        <v>1.904352</v>
      </c>
      <c r="I48" s="95">
        <v>1.1</v>
      </c>
      <c r="J48" s="95">
        <v>0.8</v>
      </c>
      <c r="K48" s="95">
        <v>1</v>
      </c>
      <c r="L48" s="95">
        <v>1</v>
      </c>
      <c r="M48" s="95">
        <v>4.188000000000001</v>
      </c>
      <c r="N48" s="95">
        <v>3.4104</v>
      </c>
      <c r="O48" s="95">
        <v>5.73635034</v>
      </c>
      <c r="P48" s="95">
        <v>2.32958709</v>
      </c>
      <c r="Q48" s="96">
        <v>0.85855387</v>
      </c>
      <c r="R48" s="96">
        <v>0.12480490000000002</v>
      </c>
      <c r="S48" s="96">
        <v>0.18140292</v>
      </c>
      <c r="T48" s="96">
        <v>0.05381913</v>
      </c>
      <c r="U48" s="46">
        <f t="shared" si="2"/>
        <v>29.197009250000004</v>
      </c>
      <c r="V48" s="66"/>
    </row>
    <row r="49" spans="1:22" ht="13.5" thickBot="1">
      <c r="A49" s="41" t="s">
        <v>23</v>
      </c>
      <c r="B49" s="50">
        <f aca="true" t="shared" si="3" ref="B49:U49">SUM(B33:B48)</f>
        <v>325.02</v>
      </c>
      <c r="C49" s="50">
        <f t="shared" si="3"/>
        <v>425</v>
      </c>
      <c r="D49" s="50">
        <f t="shared" si="3"/>
        <v>1.630361</v>
      </c>
      <c r="E49" s="50">
        <f t="shared" si="3"/>
        <v>6.080847</v>
      </c>
      <c r="F49" s="50">
        <f t="shared" si="3"/>
        <v>6.805051</v>
      </c>
      <c r="G49" s="50">
        <f t="shared" si="3"/>
        <v>154.81148</v>
      </c>
      <c r="H49" s="50">
        <f t="shared" si="3"/>
        <v>1.904352</v>
      </c>
      <c r="I49" s="50">
        <f t="shared" si="3"/>
        <v>76.1</v>
      </c>
      <c r="J49" s="50">
        <f t="shared" si="3"/>
        <v>81.6</v>
      </c>
      <c r="K49" s="50">
        <f t="shared" si="3"/>
        <v>81.9</v>
      </c>
      <c r="L49" s="50">
        <f t="shared" si="3"/>
        <v>80</v>
      </c>
      <c r="M49" s="50">
        <f t="shared" si="3"/>
        <v>285.46560800000003</v>
      </c>
      <c r="N49" s="50">
        <f t="shared" si="3"/>
        <v>292.8774795</v>
      </c>
      <c r="O49" s="50">
        <f t="shared" si="3"/>
        <v>313.16529445</v>
      </c>
      <c r="P49" s="50">
        <f t="shared" si="3"/>
        <v>260.29896682000003</v>
      </c>
      <c r="Q49" s="50">
        <f t="shared" si="3"/>
        <v>273.12786322</v>
      </c>
      <c r="R49" s="50">
        <f t="shared" si="3"/>
        <v>295.24200625</v>
      </c>
      <c r="S49" s="50">
        <f t="shared" si="3"/>
        <v>344.95699543999996</v>
      </c>
      <c r="T49" s="50">
        <f t="shared" si="3"/>
        <v>329.70971047</v>
      </c>
      <c r="U49" s="51">
        <f t="shared" si="3"/>
        <v>3635.69601515</v>
      </c>
      <c r="V49" s="25"/>
    </row>
    <row r="50" spans="1:23" s="45" customFormat="1" ht="13.5" thickBot="1">
      <c r="A50" s="4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4"/>
      <c r="V50" s="25"/>
      <c r="W50"/>
    </row>
    <row r="51" spans="1:23" ht="13.5" thickBot="1">
      <c r="A51" s="53" t="s">
        <v>24</v>
      </c>
      <c r="B51" s="54">
        <f aca="true" t="shared" si="4" ref="B51:U51">B31+B49</f>
        <v>329.48339999999996</v>
      </c>
      <c r="C51" s="54">
        <f t="shared" si="4"/>
        <v>518.08656439</v>
      </c>
      <c r="D51" s="54">
        <f t="shared" si="4"/>
        <v>107.88534496</v>
      </c>
      <c r="E51" s="54">
        <f t="shared" si="4"/>
        <v>116.99487873000001</v>
      </c>
      <c r="F51" s="54">
        <f t="shared" si="4"/>
        <v>167.20320235999998</v>
      </c>
      <c r="G51" s="54">
        <f t="shared" si="4"/>
        <v>429.73539605999997</v>
      </c>
      <c r="H51" s="54">
        <f t="shared" si="4"/>
        <v>218.10446149000003</v>
      </c>
      <c r="I51" s="54">
        <f t="shared" si="4"/>
        <v>358.39137800000003</v>
      </c>
      <c r="J51" s="54">
        <f t="shared" si="4"/>
        <v>350.92929426</v>
      </c>
      <c r="K51" s="54">
        <f t="shared" si="4"/>
        <v>337.88825982000003</v>
      </c>
      <c r="L51" s="54">
        <f t="shared" si="4"/>
        <v>332.64002400000004</v>
      </c>
      <c r="M51" s="54">
        <f t="shared" si="4"/>
        <v>798.356608</v>
      </c>
      <c r="N51" s="54">
        <f t="shared" si="4"/>
        <v>908.0821338400001</v>
      </c>
      <c r="O51" s="54">
        <f t="shared" si="4"/>
        <v>1307.5018276</v>
      </c>
      <c r="P51" s="54">
        <f t="shared" si="4"/>
        <v>1181.10659516</v>
      </c>
      <c r="Q51" s="54">
        <f t="shared" si="4"/>
        <v>1275.10837741</v>
      </c>
      <c r="R51" s="54">
        <f t="shared" si="4"/>
        <v>1468.4981930200001</v>
      </c>
      <c r="S51" s="54">
        <f t="shared" si="4"/>
        <v>1470.50115691</v>
      </c>
      <c r="T51" s="54">
        <f t="shared" si="4"/>
        <v>953.76127781</v>
      </c>
      <c r="U51" s="79">
        <f t="shared" si="4"/>
        <v>12630.258373820001</v>
      </c>
      <c r="V51" s="25"/>
      <c r="W51" s="97"/>
    </row>
    <row r="52" spans="1:23" s="56" customFormat="1" ht="13.5" thickBot="1">
      <c r="A52" s="55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83"/>
      <c r="R52" s="83"/>
      <c r="S52" s="83"/>
      <c r="T52" s="83"/>
      <c r="U52" s="52"/>
      <c r="V52" s="25"/>
      <c r="W52"/>
    </row>
    <row r="53" spans="1:22" ht="15" thickBot="1">
      <c r="A53" s="57" t="s">
        <v>44</v>
      </c>
      <c r="B53" s="42"/>
      <c r="C53" s="42"/>
      <c r="D53" s="42"/>
      <c r="E53" s="42"/>
      <c r="F53" s="42"/>
      <c r="G53" s="42"/>
      <c r="H53" s="42">
        <v>524.749285</v>
      </c>
      <c r="I53" s="42">
        <v>428.268866</v>
      </c>
      <c r="J53" s="42">
        <v>272.638133</v>
      </c>
      <c r="K53" s="42">
        <v>330.027</v>
      </c>
      <c r="L53" s="42">
        <v>320</v>
      </c>
      <c r="M53" s="42">
        <v>300</v>
      </c>
      <c r="N53" s="42">
        <v>100</v>
      </c>
      <c r="O53" s="42">
        <v>200</v>
      </c>
      <c r="P53" s="65">
        <v>0</v>
      </c>
      <c r="Q53" s="65">
        <v>0</v>
      </c>
      <c r="R53" s="65">
        <v>100</v>
      </c>
      <c r="S53" s="65">
        <v>0</v>
      </c>
      <c r="T53" s="65">
        <v>0</v>
      </c>
      <c r="U53" s="65">
        <f>SUM(B53:T53)</f>
        <v>2575.6832839999997</v>
      </c>
      <c r="V53" s="16"/>
    </row>
    <row r="54" spans="1:23" ht="15" thickBot="1">
      <c r="A54" s="57" t="s">
        <v>45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>
        <v>42.87705</v>
      </c>
      <c r="M54" s="42">
        <f>128165700/1000000</f>
        <v>128.1657</v>
      </c>
      <c r="N54" s="42">
        <v>223.5</v>
      </c>
      <c r="O54" s="42">
        <v>214.42</v>
      </c>
      <c r="P54" s="42">
        <f>25+65+6+36.72+105</f>
        <v>237.72</v>
      </c>
      <c r="Q54" s="42">
        <f>10+100+12.96</f>
        <v>122.96000000000001</v>
      </c>
      <c r="R54" s="42">
        <f>17+73+8.5+8.64</f>
        <v>107.14</v>
      </c>
      <c r="S54" s="42">
        <f>18.21725+16.5</f>
        <v>34.71725</v>
      </c>
      <c r="T54" s="42">
        <v>25</v>
      </c>
      <c r="U54" s="42">
        <f>SUM(B54:T54)</f>
        <v>1136.5</v>
      </c>
      <c r="V54" s="16"/>
      <c r="W54" s="98"/>
    </row>
    <row r="55" spans="1:23" s="45" customFormat="1" ht="13.5" thickBot="1">
      <c r="A55" s="55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25"/>
      <c r="W55"/>
    </row>
    <row r="56" spans="1:23" ht="13.5" thickBot="1">
      <c r="A56" s="58" t="s">
        <v>25</v>
      </c>
      <c r="B56" s="59">
        <f aca="true" t="shared" si="5" ref="B56:U56">SUM(B51:B54)</f>
        <v>329.48339999999996</v>
      </c>
      <c r="C56" s="59">
        <f t="shared" si="5"/>
        <v>518.08656439</v>
      </c>
      <c r="D56" s="59">
        <f t="shared" si="5"/>
        <v>107.88534496</v>
      </c>
      <c r="E56" s="59">
        <f t="shared" si="5"/>
        <v>116.99487873000001</v>
      </c>
      <c r="F56" s="59">
        <f t="shared" si="5"/>
        <v>167.20320235999998</v>
      </c>
      <c r="G56" s="59">
        <f t="shared" si="5"/>
        <v>429.73539605999997</v>
      </c>
      <c r="H56" s="59">
        <f t="shared" si="5"/>
        <v>742.85374649</v>
      </c>
      <c r="I56" s="59">
        <f t="shared" si="5"/>
        <v>786.660244</v>
      </c>
      <c r="J56" s="59">
        <f t="shared" si="5"/>
        <v>623.5674272599999</v>
      </c>
      <c r="K56" s="59">
        <f t="shared" si="5"/>
        <v>667.9152598200001</v>
      </c>
      <c r="L56" s="59">
        <f t="shared" si="5"/>
        <v>695.5170740000001</v>
      </c>
      <c r="M56" s="59">
        <f t="shared" si="5"/>
        <v>1226.522308</v>
      </c>
      <c r="N56" s="59">
        <f t="shared" si="5"/>
        <v>1231.58213384</v>
      </c>
      <c r="O56" s="59">
        <f t="shared" si="5"/>
        <v>1721.9218276000001</v>
      </c>
      <c r="P56" s="59">
        <f t="shared" si="5"/>
        <v>1418.8265951600001</v>
      </c>
      <c r="Q56" s="59">
        <f t="shared" si="5"/>
        <v>1398.06837741</v>
      </c>
      <c r="R56" s="59">
        <f t="shared" si="5"/>
        <v>1675.6381930200002</v>
      </c>
      <c r="S56" s="59">
        <f t="shared" si="5"/>
        <v>1505.2184069099999</v>
      </c>
      <c r="T56" s="59">
        <f t="shared" si="5"/>
        <v>978.76127781</v>
      </c>
      <c r="U56" s="59">
        <f t="shared" si="5"/>
        <v>16342.44165782</v>
      </c>
      <c r="V56" s="25"/>
      <c r="W56" s="97"/>
    </row>
    <row r="57" spans="2:21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2.75">
      <c r="A58" s="61" t="s">
        <v>42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28.5" customHeight="1">
      <c r="A59" s="99" t="s">
        <v>50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1:20" ht="15.75" customHeight="1">
      <c r="A60" s="61" t="s">
        <v>52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ht="15.75" customHeight="1">
      <c r="A61" s="61" t="s">
        <v>46</v>
      </c>
    </row>
    <row r="64" ht="42" customHeight="1">
      <c r="A64" s="77" t="s">
        <v>51</v>
      </c>
    </row>
    <row r="65" spans="1:20" ht="15.75">
      <c r="A65" s="2" t="s">
        <v>54</v>
      </c>
      <c r="M65" s="1"/>
      <c r="N65" s="1"/>
      <c r="O65" s="1"/>
      <c r="P65" s="1"/>
      <c r="Q65" s="1"/>
      <c r="R65" s="1"/>
      <c r="S65" s="1"/>
      <c r="T65" s="1"/>
    </row>
    <row r="66" spans="1:9" ht="15.75">
      <c r="A66" s="3" t="s">
        <v>31</v>
      </c>
      <c r="B66" s="4"/>
      <c r="C66" s="4"/>
      <c r="D66" s="4"/>
      <c r="E66" s="4"/>
      <c r="F66" s="4"/>
      <c r="G66" s="4"/>
      <c r="H66" s="4"/>
      <c r="I66" s="4"/>
    </row>
    <row r="67" ht="13.5" thickBot="1"/>
    <row r="68" spans="1:21" ht="16.5" thickBot="1">
      <c r="A68" s="5"/>
      <c r="B68" s="6">
        <v>2000</v>
      </c>
      <c r="C68" s="6">
        <v>2001</v>
      </c>
      <c r="D68" s="6">
        <v>2002</v>
      </c>
      <c r="E68" s="6">
        <v>2003</v>
      </c>
      <c r="F68" s="6">
        <v>2004</v>
      </c>
      <c r="G68" s="7">
        <v>2005</v>
      </c>
      <c r="H68" s="8">
        <v>2006</v>
      </c>
      <c r="I68" s="7">
        <v>2007</v>
      </c>
      <c r="J68" s="8">
        <v>2008</v>
      </c>
      <c r="K68" s="7">
        <v>2009</v>
      </c>
      <c r="L68" s="7">
        <v>2010</v>
      </c>
      <c r="M68" s="7">
        <v>2011</v>
      </c>
      <c r="N68" s="7">
        <v>2012</v>
      </c>
      <c r="O68" s="7">
        <v>2013</v>
      </c>
      <c r="P68" s="7">
        <v>2014</v>
      </c>
      <c r="Q68" s="7">
        <v>2015</v>
      </c>
      <c r="R68" s="7">
        <v>2016</v>
      </c>
      <c r="S68" s="7">
        <v>2017</v>
      </c>
      <c r="T68" s="7">
        <v>2018</v>
      </c>
      <c r="U68" s="9" t="s">
        <v>0</v>
      </c>
    </row>
    <row r="69" spans="1:21" ht="13.5" thickBot="1">
      <c r="A69" s="17" t="s">
        <v>10</v>
      </c>
      <c r="B69" s="11"/>
      <c r="C69" s="22"/>
      <c r="D69" s="22"/>
      <c r="E69" s="22"/>
      <c r="F69" s="22"/>
      <c r="G69" s="23"/>
      <c r="H69" s="19"/>
      <c r="I69" s="30"/>
      <c r="J69" s="20"/>
      <c r="K69" s="19"/>
      <c r="L69" s="19"/>
      <c r="M69" s="19"/>
      <c r="N69" s="21"/>
      <c r="O69" s="21"/>
      <c r="P69" s="21">
        <v>30.742</v>
      </c>
      <c r="Q69" s="21">
        <v>24.263</v>
      </c>
      <c r="R69" s="21">
        <v>22.97689</v>
      </c>
      <c r="S69" s="91">
        <v>22.19107685</v>
      </c>
      <c r="T69" s="91">
        <v>24.47917338</v>
      </c>
      <c r="U69" s="78">
        <f>SUM(B69:T69)</f>
        <v>124.65214023000001</v>
      </c>
    </row>
    <row r="70" spans="1:21" ht="13.5" thickBot="1">
      <c r="A70" s="73" t="s">
        <v>14</v>
      </c>
      <c r="B70" s="11"/>
      <c r="C70" s="22"/>
      <c r="D70" s="22"/>
      <c r="E70" s="22"/>
      <c r="F70" s="22"/>
      <c r="G70" s="23"/>
      <c r="H70" s="19"/>
      <c r="I70" s="30"/>
      <c r="J70" s="20"/>
      <c r="K70" s="19"/>
      <c r="L70" s="19"/>
      <c r="M70" s="19"/>
      <c r="N70" s="21"/>
      <c r="O70" s="21"/>
      <c r="P70" s="21"/>
      <c r="Q70" s="21">
        <v>4.7322</v>
      </c>
      <c r="R70" s="21">
        <v>18.60054</v>
      </c>
      <c r="S70" s="21">
        <v>11.45331</v>
      </c>
      <c r="T70" s="91">
        <v>5.27084</v>
      </c>
      <c r="U70" s="78">
        <f>SUM(B70:T70)</f>
        <v>40.056889999999996</v>
      </c>
    </row>
    <row r="71" spans="1:21" ht="13.5" thickBot="1">
      <c r="A71" s="41" t="s">
        <v>16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>
        <f aca="true" t="shared" si="6" ref="P71:U71">SUM(P69:P70)</f>
        <v>30.742</v>
      </c>
      <c r="Q71" s="42">
        <f t="shared" si="6"/>
        <v>28.9952</v>
      </c>
      <c r="R71" s="42">
        <f t="shared" si="6"/>
        <v>41.57743</v>
      </c>
      <c r="S71" s="42">
        <f t="shared" si="6"/>
        <v>33.644386850000004</v>
      </c>
      <c r="T71" s="42">
        <f t="shared" si="6"/>
        <v>29.75001338</v>
      </c>
      <c r="U71" s="42">
        <f t="shared" si="6"/>
        <v>164.70903023</v>
      </c>
    </row>
    <row r="72" ht="13.5" thickBot="1"/>
    <row r="73" spans="1:23" s="45" customFormat="1" ht="13.5" thickBot="1">
      <c r="A73" s="74" t="s">
        <v>17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6"/>
      <c r="N73" s="76"/>
      <c r="O73" s="76"/>
      <c r="P73" s="76"/>
      <c r="Q73" s="81">
        <v>105</v>
      </c>
      <c r="R73" s="81">
        <v>51.6</v>
      </c>
      <c r="S73" s="81">
        <v>40</v>
      </c>
      <c r="T73" s="81"/>
      <c r="U73" s="46">
        <f>SUM(B73:T73)</f>
        <v>196.6</v>
      </c>
      <c r="V73" s="66"/>
      <c r="W73"/>
    </row>
    <row r="74" spans="1:22" ht="13.5" thickBot="1">
      <c r="A74" s="41" t="s">
        <v>23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>
        <f>SUM(Q73)</f>
        <v>105</v>
      </c>
      <c r="R74" s="50">
        <f>SUM(R73)</f>
        <v>51.6</v>
      </c>
      <c r="S74" s="50">
        <f>SUM(S73)</f>
        <v>40</v>
      </c>
      <c r="T74" s="50">
        <f>SUM(T73)</f>
        <v>0</v>
      </c>
      <c r="U74" s="50">
        <f>SUM(U73)</f>
        <v>196.6</v>
      </c>
      <c r="V74" s="25"/>
    </row>
    <row r="75" ht="13.5" thickBot="1"/>
    <row r="76" spans="1:21" ht="13.5" thickBot="1">
      <c r="A76" s="58" t="s">
        <v>25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>
        <f aca="true" t="shared" si="7" ref="P76:U76">SUM(P71,P74)</f>
        <v>30.742</v>
      </c>
      <c r="Q76" s="59">
        <f t="shared" si="7"/>
        <v>133.9952</v>
      </c>
      <c r="R76" s="59">
        <f t="shared" si="7"/>
        <v>93.17743</v>
      </c>
      <c r="S76" s="59">
        <f t="shared" si="7"/>
        <v>73.64438685</v>
      </c>
      <c r="T76" s="59">
        <f t="shared" si="7"/>
        <v>29.75001338</v>
      </c>
      <c r="U76" s="59">
        <f t="shared" si="7"/>
        <v>361.30903022999996</v>
      </c>
    </row>
    <row r="80" ht="18" customHeight="1"/>
  </sheetData>
  <sheetProtection/>
  <mergeCells count="1">
    <mergeCell ref="A59:U5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71:Q71 B31:S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30 June 2018</dc:title>
  <dc:subject/>
  <dc:creator>Administrator Application</dc:creator>
  <cp:keywords/>
  <dc:description/>
  <cp:lastModifiedBy>Administrator Application</cp:lastModifiedBy>
  <cp:lastPrinted>2015-01-29T15:18:13Z</cp:lastPrinted>
  <dcterms:created xsi:type="dcterms:W3CDTF">2013-01-25T10:21:26Z</dcterms:created>
  <dcterms:modified xsi:type="dcterms:W3CDTF">2018-08-09T10:58:53Z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655edceb-0015-461d-8871-2352b32783ea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e37ceaa0d61b4bfeb3c21883d9680a10">
    <vt:lpwstr>Finance|70c92294-fade-490c-ae2b-2f46f3fe0636</vt:lpwstr>
  </property>
  <property fmtid="{D5CDD505-2E9C-101B-9397-08002B2CF9AE}" pid="33" name="e47ceaa0d61b4bfeb3c21883d9680a10">
    <vt:lpwstr/>
  </property>
  <property fmtid="{D5CDD505-2E9C-101B-9397-08002B2CF9AE}" pid="34" name="e57ceaa0d61b4bfeb3c21883d9680a10">
    <vt:lpwstr/>
  </property>
  <property fmtid="{D5CDD505-2E9C-101B-9397-08002B2CF9AE}" pid="35" name="TaxCatchAll">
    <vt:lpwstr>169;#Finance|70c92294-fade-490c-ae2b-2f46f3fe0636</vt:lpwstr>
  </property>
  <property fmtid="{D5CDD505-2E9C-101B-9397-08002B2CF9AE}" pid="36" name="i4a50af2c0e64ae9b81ffeca8af7ed0f">
    <vt:lpwstr/>
  </property>
  <property fmtid="{D5CDD505-2E9C-101B-9397-08002B2CF9AE}" pid="37" name="e77ceaa0d61b4bfeb3c21883d9680a10">
    <vt:lpwstr/>
  </property>
  <property fmtid="{D5CDD505-2E9C-101B-9397-08002B2CF9AE}" pid="38" name="_dlc_DocId">
    <vt:lpwstr>GAVI-2091783149-201518</vt:lpwstr>
  </property>
  <property fmtid="{D5CDD505-2E9C-101B-9397-08002B2CF9AE}" pid="39" name="_dlc_DocIdUrl">
    <vt:lpwstr>https://gavinet.sharepoint.com/teams/RMP/_layouts/15/DocIdRedir.aspx?ID=GAVI-2091783149-201518, GAVI-2091783149-201518</vt:lpwstr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DownloadAsset.aspx?id=2147516769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/>
  </property>
  <property fmtid="{D5CDD505-2E9C-101B-9397-08002B2CF9AE}" pid="46" name="EktExpiryType">
    <vt:i4>1</vt:i4>
  </property>
  <property fmtid="{D5CDD505-2E9C-101B-9397-08002B2CF9AE}" pid="47" name="EktDateCreated">
    <vt:filetime>2018-09-05T09:46:00Z</vt:filetime>
  </property>
  <property fmtid="{D5CDD505-2E9C-101B-9397-08002B2CF9AE}" pid="48" name="EktDateModified">
    <vt:filetime>2018-09-05T09:47:32Z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99328</vt:i4>
  </property>
  <property fmtid="{D5CDD505-2E9C-101B-9397-08002B2CF9AE}" pid="52" name="EktSearchable">
    <vt:i4>1</vt:i4>
  </property>
  <property fmtid="{D5CDD505-2E9C-101B-9397-08002B2CF9AE}" pid="53" name="EktEDescription">
    <vt:lpwstr>&amp;lt;p&amp;gt;2000-2018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54" name="EktPublicationDate">
    <vt:filetime>2018-09-04T22:00:00Z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