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vinet.sharepoint.com/teams/fop/fin/Documents/Finance/FPA/Donor Forecasting/Web updates/2021/Q1 2021/"/>
    </mc:Choice>
  </mc:AlternateContent>
  <xr:revisionPtr revIDLastSave="1" documentId="8_{EF1A0C89-4D34-4BF5-A31B-B4655863A133}" xr6:coauthVersionLast="46" xr6:coauthVersionMax="46" xr10:uidLastSave="{4FCE34DF-35C3-41E4-80E4-5BF88B67CB27}"/>
  <bookViews>
    <workbookView xWindow="-120" yWindow="-120" windowWidth="29040" windowHeight="15840" xr2:uid="{00000000-000D-0000-FFFF-FFFF00000000}"/>
  </bookViews>
  <sheets>
    <sheet name="2000-2021 Cash Receipts" sheetId="5" r:id="rId1"/>
  </sheets>
  <definedNames>
    <definedName name="_xlnm.Print_Area" localSheetId="0">'2000-2021 Cash Receipts'!$A$1:$AF$99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48" i="5" l="1"/>
  <c r="AL76" i="5"/>
  <c r="AL75" i="5"/>
  <c r="AJ75" i="5"/>
  <c r="AH78" i="5"/>
  <c r="AI10" i="5"/>
  <c r="AI71" i="5" l="1"/>
  <c r="AI43" i="5"/>
  <c r="AJ37" i="5"/>
  <c r="AB37" i="5"/>
  <c r="AF37" i="5" s="1"/>
  <c r="U37" i="5"/>
  <c r="N37" i="5"/>
  <c r="AJ55" i="5"/>
  <c r="AB55" i="5"/>
  <c r="AF55" i="5" s="1"/>
  <c r="AL55" i="5" s="1"/>
  <c r="U55" i="5"/>
  <c r="N55" i="5"/>
  <c r="AJ33" i="5"/>
  <c r="AB33" i="5"/>
  <c r="AF33" i="5" s="1"/>
  <c r="U33" i="5"/>
  <c r="N33" i="5"/>
  <c r="AJ65" i="5"/>
  <c r="AB65" i="5"/>
  <c r="U65" i="5"/>
  <c r="N65" i="5"/>
  <c r="AJ9" i="5"/>
  <c r="AB9" i="5"/>
  <c r="U9" i="5"/>
  <c r="N9" i="5"/>
  <c r="AJ30" i="5"/>
  <c r="AB30" i="5"/>
  <c r="U30" i="5"/>
  <c r="N30" i="5"/>
  <c r="AI73" i="5" l="1"/>
  <c r="AI78" i="5" s="1"/>
  <c r="AJ78" i="5" s="1"/>
  <c r="AL78" i="5" s="1"/>
  <c r="AL37" i="5"/>
  <c r="AL33" i="5"/>
  <c r="AF65" i="5"/>
  <c r="AL65" i="5" s="1"/>
  <c r="AF9" i="5"/>
  <c r="AL9" i="5" s="1"/>
  <c r="AF30" i="5"/>
  <c r="AL30" i="5" s="1"/>
  <c r="AJ70" i="5" l="1"/>
  <c r="AJ69" i="5"/>
  <c r="AJ68" i="5"/>
  <c r="AJ67" i="5"/>
  <c r="AJ66" i="5"/>
  <c r="AJ64" i="5"/>
  <c r="AJ63" i="5"/>
  <c r="AJ62" i="5"/>
  <c r="AJ61" i="5"/>
  <c r="AJ60" i="5"/>
  <c r="AJ59" i="5"/>
  <c r="AJ58" i="5"/>
  <c r="AJ57" i="5"/>
  <c r="AJ56" i="5"/>
  <c r="AJ54" i="5"/>
  <c r="AJ53" i="5"/>
  <c r="AJ52" i="5"/>
  <c r="AJ51" i="5"/>
  <c r="AJ50" i="5"/>
  <c r="AJ49" i="5"/>
  <c r="AJ48" i="5"/>
  <c r="AJ47" i="5"/>
  <c r="AJ46" i="5"/>
  <c r="AJ45" i="5"/>
  <c r="AJ42" i="5"/>
  <c r="AJ41" i="5"/>
  <c r="AJ40" i="5"/>
  <c r="AJ39" i="5"/>
  <c r="AJ38" i="5"/>
  <c r="AJ36" i="5"/>
  <c r="AJ35" i="5"/>
  <c r="AJ34" i="5"/>
  <c r="AJ32" i="5"/>
  <c r="AJ31" i="5"/>
  <c r="AJ29" i="5"/>
  <c r="AJ28" i="5"/>
  <c r="AJ26" i="5"/>
  <c r="AJ25" i="5"/>
  <c r="AJ24" i="5"/>
  <c r="AJ22" i="5"/>
  <c r="AJ21" i="5"/>
  <c r="AJ20" i="5"/>
  <c r="AJ19" i="5"/>
  <c r="AJ18" i="5"/>
  <c r="AJ17" i="5"/>
  <c r="AJ16" i="5"/>
  <c r="AJ15" i="5"/>
  <c r="AJ14" i="5"/>
  <c r="AJ13" i="5"/>
  <c r="AJ12" i="5"/>
  <c r="AJ11" i="5"/>
  <c r="AJ10" i="5"/>
  <c r="AJ8" i="5"/>
  <c r="AJ7" i="5"/>
  <c r="AB8" i="5"/>
  <c r="U8" i="5"/>
  <c r="N8" i="5"/>
  <c r="AJ71" i="5" l="1"/>
  <c r="AF8" i="5"/>
  <c r="AL8" i="5" s="1"/>
  <c r="AD71" i="5"/>
  <c r="AH23" i="5"/>
  <c r="AJ23" i="5" s="1"/>
  <c r="AA23" i="5"/>
  <c r="AD43" i="5" l="1"/>
  <c r="AD73" i="5" s="1"/>
  <c r="AD78" i="5" s="1"/>
  <c r="AB69" i="5"/>
  <c r="U69" i="5"/>
  <c r="N69" i="5"/>
  <c r="AF69" i="5" l="1"/>
  <c r="AL69" i="5" s="1"/>
  <c r="AA27" i="5"/>
  <c r="AB47" i="5" l="1"/>
  <c r="U47" i="5"/>
  <c r="N47" i="5"/>
  <c r="AF47" i="5" l="1"/>
  <c r="AL47" i="5" s="1"/>
  <c r="AB64" i="5"/>
  <c r="U64" i="5"/>
  <c r="N64" i="5"/>
  <c r="AF64" i="5" l="1"/>
  <c r="AL64" i="5" s="1"/>
  <c r="AB29" i="5"/>
  <c r="U29" i="5"/>
  <c r="N29" i="5"/>
  <c r="AH27" i="5"/>
  <c r="AJ27" i="5" s="1"/>
  <c r="AJ43" i="5" s="1"/>
  <c r="AJ73" i="5" s="1"/>
  <c r="AF29" i="5" l="1"/>
  <c r="AL29" i="5" s="1"/>
  <c r="AB66" i="5" l="1"/>
  <c r="U66" i="5"/>
  <c r="N66" i="5"/>
  <c r="AF66" i="5" l="1"/>
  <c r="AL66" i="5" s="1"/>
  <c r="AB14" i="5"/>
  <c r="U14" i="5"/>
  <c r="N14" i="5"/>
  <c r="AA75" i="5"/>
  <c r="AA76" i="5"/>
  <c r="AA40" i="5"/>
  <c r="AA36" i="5"/>
  <c r="AA28" i="5"/>
  <c r="AF14" i="5" l="1"/>
  <c r="AL14" i="5" s="1"/>
  <c r="AA68" i="5" l="1"/>
  <c r="AA56" i="5"/>
  <c r="AA48" i="5"/>
  <c r="AA18" i="5"/>
  <c r="AB16" i="5"/>
  <c r="U16" i="5"/>
  <c r="N16" i="5"/>
  <c r="AA7" i="5"/>
  <c r="AA46" i="5"/>
  <c r="AF16" i="5" l="1"/>
  <c r="AL16" i="5" s="1"/>
  <c r="AB96" i="5" l="1"/>
  <c r="U96" i="5"/>
  <c r="U97" i="5" s="1"/>
  <c r="AB93" i="5"/>
  <c r="AB92" i="5"/>
  <c r="U93" i="5"/>
  <c r="U92" i="5"/>
  <c r="AB68" i="5"/>
  <c r="AB67" i="5"/>
  <c r="AB63" i="5"/>
  <c r="AB62" i="5"/>
  <c r="AB60" i="5"/>
  <c r="AB59" i="5"/>
  <c r="AB57" i="5"/>
  <c r="AB53" i="5"/>
  <c r="AB52" i="5"/>
  <c r="AB50" i="5"/>
  <c r="AB49" i="5"/>
  <c r="AB46" i="5"/>
  <c r="AB42" i="5"/>
  <c r="AB40" i="5"/>
  <c r="AB38" i="5"/>
  <c r="AB35" i="5"/>
  <c r="AB34" i="5"/>
  <c r="AB32" i="5"/>
  <c r="AB27" i="5"/>
  <c r="AB26" i="5"/>
  <c r="AB25" i="5"/>
  <c r="AB24" i="5"/>
  <c r="AB22" i="5"/>
  <c r="AB21" i="5"/>
  <c r="AB19" i="5"/>
  <c r="AB17" i="5"/>
  <c r="AB13" i="5"/>
  <c r="AB12" i="5"/>
  <c r="AB11" i="5"/>
  <c r="U75" i="5"/>
  <c r="U70" i="5"/>
  <c r="U68" i="5"/>
  <c r="U67" i="5"/>
  <c r="U63" i="5"/>
  <c r="U62" i="5"/>
  <c r="U61" i="5"/>
  <c r="U60" i="5"/>
  <c r="U59" i="5"/>
  <c r="U57" i="5"/>
  <c r="U54" i="5"/>
  <c r="U53" i="5"/>
  <c r="U50" i="5"/>
  <c r="U46" i="5"/>
  <c r="U45" i="5"/>
  <c r="U42" i="5"/>
  <c r="U40" i="5"/>
  <c r="U39" i="5"/>
  <c r="U38" i="5"/>
  <c r="U36" i="5"/>
  <c r="U35" i="5"/>
  <c r="U34" i="5"/>
  <c r="U32" i="5"/>
  <c r="U28" i="5"/>
  <c r="U27" i="5"/>
  <c r="U26" i="5"/>
  <c r="U25" i="5"/>
  <c r="U24" i="5"/>
  <c r="U23" i="5"/>
  <c r="U22" i="5"/>
  <c r="U21" i="5"/>
  <c r="U19" i="5"/>
  <c r="U17" i="5"/>
  <c r="U15" i="5"/>
  <c r="U13" i="5"/>
  <c r="U12" i="5"/>
  <c r="U11" i="5"/>
  <c r="N76" i="5"/>
  <c r="N75" i="5"/>
  <c r="N70" i="5"/>
  <c r="N68" i="5"/>
  <c r="N67" i="5"/>
  <c r="N63" i="5"/>
  <c r="N62" i="5"/>
  <c r="N61" i="5"/>
  <c r="N60" i="5"/>
  <c r="N59" i="5"/>
  <c r="N58" i="5"/>
  <c r="N57" i="5"/>
  <c r="N56" i="5"/>
  <c r="N54" i="5"/>
  <c r="N53" i="5"/>
  <c r="N52" i="5"/>
  <c r="N51" i="5"/>
  <c r="N50" i="5"/>
  <c r="N49" i="5"/>
  <c r="N48" i="5"/>
  <c r="N46" i="5"/>
  <c r="N45" i="5"/>
  <c r="N42" i="5"/>
  <c r="N41" i="5"/>
  <c r="N40" i="5"/>
  <c r="N39" i="5"/>
  <c r="N38" i="5"/>
  <c r="N36" i="5"/>
  <c r="N35" i="5"/>
  <c r="N34" i="5"/>
  <c r="N32" i="5"/>
  <c r="N31" i="5"/>
  <c r="N28" i="5"/>
  <c r="N27" i="5"/>
  <c r="N26" i="5"/>
  <c r="N25" i="5"/>
  <c r="N24" i="5"/>
  <c r="N23" i="5"/>
  <c r="N22" i="5"/>
  <c r="N21" i="5"/>
  <c r="N20" i="5"/>
  <c r="N19" i="5"/>
  <c r="N18" i="5"/>
  <c r="N17" i="5"/>
  <c r="N15" i="5"/>
  <c r="N13" i="5"/>
  <c r="N12" i="5"/>
  <c r="N11" i="5"/>
  <c r="N10" i="5"/>
  <c r="N7" i="5"/>
  <c r="AF68" i="5" l="1"/>
  <c r="AL68" i="5" s="1"/>
  <c r="AF17" i="5"/>
  <c r="AL17" i="5" s="1"/>
  <c r="U94" i="5"/>
  <c r="U99" i="5" s="1"/>
  <c r="AF32" i="5"/>
  <c r="AL32" i="5" s="1"/>
  <c r="AF50" i="5"/>
  <c r="AL50" i="5" s="1"/>
  <c r="AF67" i="5"/>
  <c r="AL67" i="5" s="1"/>
  <c r="AF25" i="5"/>
  <c r="AL25" i="5" s="1"/>
  <c r="AF13" i="5"/>
  <c r="AL13" i="5" s="1"/>
  <c r="AF27" i="5"/>
  <c r="AL27" i="5" s="1"/>
  <c r="AF63" i="5"/>
  <c r="AL63" i="5" s="1"/>
  <c r="AF19" i="5"/>
  <c r="AL19" i="5" s="1"/>
  <c r="AF21" i="5"/>
  <c r="AL21" i="5" s="1"/>
  <c r="AF35" i="5"/>
  <c r="AL35" i="5" s="1"/>
  <c r="AF53" i="5"/>
  <c r="AL53" i="5" s="1"/>
  <c r="AF34" i="5"/>
  <c r="AL34" i="5" s="1"/>
  <c r="AF22" i="5"/>
  <c r="AL22" i="5" s="1"/>
  <c r="AF38" i="5"/>
  <c r="AL38" i="5" s="1"/>
  <c r="AF57" i="5"/>
  <c r="AL57" i="5" s="1"/>
  <c r="AF24" i="5"/>
  <c r="AL24" i="5" s="1"/>
  <c r="AF40" i="5"/>
  <c r="AL40" i="5" s="1"/>
  <c r="AF59" i="5"/>
  <c r="AL59" i="5" s="1"/>
  <c r="AF11" i="5"/>
  <c r="AL11" i="5" s="1"/>
  <c r="AF42" i="5"/>
  <c r="AL42" i="5" s="1"/>
  <c r="AF60" i="5"/>
  <c r="AL60" i="5" s="1"/>
  <c r="AF12" i="5"/>
  <c r="AL12" i="5" s="1"/>
  <c r="AF26" i="5"/>
  <c r="AL26" i="5" s="1"/>
  <c r="AF46" i="5"/>
  <c r="AL46" i="5" s="1"/>
  <c r="AF62" i="5"/>
  <c r="AL62" i="5" s="1"/>
  <c r="AF96" i="5"/>
  <c r="N71" i="5"/>
  <c r="AF93" i="5"/>
  <c r="N43" i="5"/>
  <c r="AF92" i="5"/>
  <c r="AB97" i="5"/>
  <c r="AB94" i="5"/>
  <c r="N73" i="5" l="1"/>
  <c r="N78" i="5" s="1"/>
  <c r="AB99" i="5"/>
  <c r="AA97" i="5"/>
  <c r="Z97" i="5"/>
  <c r="Y97" i="5"/>
  <c r="X97" i="5"/>
  <c r="W97" i="5"/>
  <c r="T97" i="5"/>
  <c r="AF97" i="5"/>
  <c r="AA94" i="5"/>
  <c r="Z94" i="5"/>
  <c r="Y94" i="5"/>
  <c r="X94" i="5"/>
  <c r="W94" i="5"/>
  <c r="T94" i="5"/>
  <c r="S94" i="5"/>
  <c r="S99" i="5" s="1"/>
  <c r="Z76" i="5"/>
  <c r="Y76" i="5"/>
  <c r="X76" i="5"/>
  <c r="W76" i="5"/>
  <c r="T76" i="5"/>
  <c r="S76" i="5"/>
  <c r="P76" i="5"/>
  <c r="Z75" i="5"/>
  <c r="AB75" i="5" s="1"/>
  <c r="AF75" i="5" s="1"/>
  <c r="AH71" i="5"/>
  <c r="AA71" i="5"/>
  <c r="R71" i="5"/>
  <c r="Q71" i="5"/>
  <c r="P71" i="5"/>
  <c r="M71" i="5"/>
  <c r="L71" i="5"/>
  <c r="K71" i="5"/>
  <c r="J71" i="5"/>
  <c r="I71" i="5"/>
  <c r="H71" i="5"/>
  <c r="G71" i="5"/>
  <c r="F71" i="5"/>
  <c r="E71" i="5"/>
  <c r="D71" i="5"/>
  <c r="C71" i="5"/>
  <c r="Z70" i="5"/>
  <c r="Y61" i="5"/>
  <c r="W61" i="5"/>
  <c r="X58" i="5"/>
  <c r="W58" i="5"/>
  <c r="T58" i="5"/>
  <c r="S58" i="5"/>
  <c r="Z56" i="5"/>
  <c r="Y56" i="5"/>
  <c r="X56" i="5"/>
  <c r="W56" i="5"/>
  <c r="T56" i="5"/>
  <c r="S56" i="5"/>
  <c r="Z54" i="5"/>
  <c r="Y54" i="5"/>
  <c r="X54" i="5"/>
  <c r="W54" i="5"/>
  <c r="S52" i="5"/>
  <c r="U52" i="5" s="1"/>
  <c r="X51" i="5"/>
  <c r="W51" i="5"/>
  <c r="AB51" i="5" s="1"/>
  <c r="T51" i="5"/>
  <c r="S51" i="5"/>
  <c r="S49" i="5"/>
  <c r="Z48" i="5"/>
  <c r="Y48" i="5"/>
  <c r="X48" i="5"/>
  <c r="W48" i="5"/>
  <c r="S48" i="5"/>
  <c r="U48" i="5" s="1"/>
  <c r="Z45" i="5"/>
  <c r="AB45" i="5" s="1"/>
  <c r="AF45" i="5" s="1"/>
  <c r="AL45" i="5" s="1"/>
  <c r="AH43" i="5"/>
  <c r="W43" i="5"/>
  <c r="R43" i="5"/>
  <c r="Q43" i="5"/>
  <c r="P43" i="5"/>
  <c r="M43" i="5"/>
  <c r="L43" i="5"/>
  <c r="K43" i="5"/>
  <c r="J43" i="5"/>
  <c r="I43" i="5"/>
  <c r="H43" i="5"/>
  <c r="G43" i="5"/>
  <c r="F43" i="5"/>
  <c r="E43" i="5"/>
  <c r="D43" i="5"/>
  <c r="C43" i="5"/>
  <c r="Y41" i="5"/>
  <c r="AB41" i="5" s="1"/>
  <c r="T41" i="5"/>
  <c r="Z39" i="5"/>
  <c r="AB39" i="5" s="1"/>
  <c r="Z36" i="5"/>
  <c r="Y36" i="5"/>
  <c r="X36" i="5"/>
  <c r="Z31" i="5"/>
  <c r="Y31" i="5"/>
  <c r="X31" i="5"/>
  <c r="S31" i="5"/>
  <c r="Z28" i="5"/>
  <c r="Y28" i="5"/>
  <c r="X28" i="5"/>
  <c r="AA43" i="5"/>
  <c r="Z23" i="5"/>
  <c r="Y23" i="5"/>
  <c r="X23" i="5"/>
  <c r="Z20" i="5"/>
  <c r="AB20" i="5" s="1"/>
  <c r="S20" i="5"/>
  <c r="Z18" i="5"/>
  <c r="Y18" i="5"/>
  <c r="X18" i="5"/>
  <c r="T18" i="5"/>
  <c r="S18" i="5"/>
  <c r="Z15" i="5"/>
  <c r="Y15" i="5"/>
  <c r="X10" i="5"/>
  <c r="AB10" i="5" s="1"/>
  <c r="S10" i="5"/>
  <c r="U10" i="5" s="1"/>
  <c r="Z7" i="5"/>
  <c r="X7" i="5"/>
  <c r="S7" i="5"/>
  <c r="U18" i="5" l="1"/>
  <c r="U56" i="5"/>
  <c r="AF39" i="5"/>
  <c r="AL39" i="5" s="1"/>
  <c r="AF10" i="5"/>
  <c r="AL10" i="5" s="1"/>
  <c r="AF52" i="5"/>
  <c r="AL52" i="5" s="1"/>
  <c r="U58" i="5"/>
  <c r="Y71" i="5"/>
  <c r="AB56" i="5"/>
  <c r="AF56" i="5" s="1"/>
  <c r="AL56" i="5" s="1"/>
  <c r="AB36" i="5"/>
  <c r="AF36" i="5" s="1"/>
  <c r="AL36" i="5" s="1"/>
  <c r="AB61" i="5"/>
  <c r="F73" i="5"/>
  <c r="F78" i="5" s="1"/>
  <c r="P73" i="5"/>
  <c r="P78" i="5" s="1"/>
  <c r="X99" i="5"/>
  <c r="U76" i="5"/>
  <c r="AB31" i="5"/>
  <c r="X71" i="5"/>
  <c r="AB58" i="5"/>
  <c r="AH73" i="5"/>
  <c r="AB70" i="5"/>
  <c r="Y43" i="5"/>
  <c r="AB15" i="5"/>
  <c r="U20" i="5"/>
  <c r="AF20" i="5" s="1"/>
  <c r="AL20" i="5" s="1"/>
  <c r="U31" i="5"/>
  <c r="S43" i="5"/>
  <c r="U7" i="5"/>
  <c r="Z43" i="5"/>
  <c r="X43" i="5"/>
  <c r="AB7" i="5"/>
  <c r="U41" i="5"/>
  <c r="AF41" i="5" s="1"/>
  <c r="AL41" i="5" s="1"/>
  <c r="T43" i="5"/>
  <c r="U49" i="5"/>
  <c r="AB54" i="5"/>
  <c r="AB76" i="5"/>
  <c r="Y99" i="5"/>
  <c r="AB18" i="5"/>
  <c r="S71" i="5"/>
  <c r="U51" i="5"/>
  <c r="AF51" i="5" s="1"/>
  <c r="AL51" i="5" s="1"/>
  <c r="W71" i="5"/>
  <c r="W73" i="5" s="1"/>
  <c r="W78" i="5" s="1"/>
  <c r="AB48" i="5"/>
  <c r="AB23" i="5"/>
  <c r="AB28" i="5"/>
  <c r="T71" i="5"/>
  <c r="AA73" i="5"/>
  <c r="AA78" i="5" s="1"/>
  <c r="W99" i="5"/>
  <c r="AF94" i="5"/>
  <c r="AF99" i="5" s="1"/>
  <c r="AA99" i="5"/>
  <c r="J73" i="5"/>
  <c r="J78" i="5" s="1"/>
  <c r="M73" i="5"/>
  <c r="M78" i="5" s="1"/>
  <c r="T99" i="5"/>
  <c r="Z99" i="5"/>
  <c r="K73" i="5"/>
  <c r="K78" i="5" s="1"/>
  <c r="C73" i="5"/>
  <c r="C78" i="5" s="1"/>
  <c r="G73" i="5"/>
  <c r="G78" i="5" s="1"/>
  <c r="Q73" i="5"/>
  <c r="Q78" i="5" s="1"/>
  <c r="L73" i="5"/>
  <c r="L78" i="5" s="1"/>
  <c r="H73" i="5"/>
  <c r="H78" i="5" s="1"/>
  <c r="R73" i="5"/>
  <c r="R78" i="5" s="1"/>
  <c r="D73" i="5"/>
  <c r="D78" i="5" s="1"/>
  <c r="I73" i="5"/>
  <c r="I78" i="5" s="1"/>
  <c r="E73" i="5"/>
  <c r="E78" i="5" s="1"/>
  <c r="Z71" i="5"/>
  <c r="Y73" i="5" l="1"/>
  <c r="Y78" i="5" s="1"/>
  <c r="AF76" i="5"/>
  <c r="AF58" i="5"/>
  <c r="AL58" i="5" s="1"/>
  <c r="AF48" i="5"/>
  <c r="AL48" i="5" s="1"/>
  <c r="AF70" i="5"/>
  <c r="AL70" i="5" s="1"/>
  <c r="AF54" i="5"/>
  <c r="AL54" i="5" s="1"/>
  <c r="AF23" i="5"/>
  <c r="AL23" i="5" s="1"/>
  <c r="AF61" i="5"/>
  <c r="AL61" i="5" s="1"/>
  <c r="AF18" i="5"/>
  <c r="AL18" i="5" s="1"/>
  <c r="AF31" i="5"/>
  <c r="AL31" i="5" s="1"/>
  <c r="AF49" i="5"/>
  <c r="AL49" i="5" s="1"/>
  <c r="AF28" i="5"/>
  <c r="AL28" i="5" s="1"/>
  <c r="AF7" i="5"/>
  <c r="AL7" i="5" s="1"/>
  <c r="AF15" i="5"/>
  <c r="AL15" i="5" s="1"/>
  <c r="T73" i="5"/>
  <c r="T78" i="5" s="1"/>
  <c r="U71" i="5"/>
  <c r="Z73" i="5"/>
  <c r="Z78" i="5" s="1"/>
  <c r="X73" i="5"/>
  <c r="X78" i="5" s="1"/>
  <c r="AB71" i="5"/>
  <c r="AB43" i="5"/>
  <c r="U43" i="5"/>
  <c r="S73" i="5"/>
  <c r="S78" i="5" s="1"/>
  <c r="AF43" i="5" l="1"/>
  <c r="AL71" i="5"/>
  <c r="AF71" i="5"/>
  <c r="U73" i="5"/>
  <c r="U78" i="5" s="1"/>
  <c r="AL43" i="5"/>
  <c r="AB73" i="5"/>
  <c r="AB78" i="5" s="1"/>
  <c r="AL73" i="5" l="1"/>
  <c r="AF73" i="5"/>
  <c r="AF78" i="5" s="1"/>
</calcChain>
</file>

<file path=xl/sharedStrings.xml><?xml version="1.0" encoding="utf-8"?>
<sst xmlns="http://schemas.openxmlformats.org/spreadsheetml/2006/main" count="97" uniqueCount="86">
  <si>
    <t>Cash Received by Gavi</t>
  </si>
  <si>
    <t>in US$ millions</t>
  </si>
  <si>
    <t>Australia</t>
  </si>
  <si>
    <t>Canada</t>
  </si>
  <si>
    <t>China</t>
  </si>
  <si>
    <t>Denmark</t>
  </si>
  <si>
    <t>European Commission (EC)</t>
  </si>
  <si>
    <t>France</t>
  </si>
  <si>
    <t>Germany</t>
  </si>
  <si>
    <t>Iceland</t>
  </si>
  <si>
    <t>India</t>
  </si>
  <si>
    <t>Ireland</t>
  </si>
  <si>
    <t>Italy</t>
  </si>
  <si>
    <t>Japan</t>
  </si>
  <si>
    <t>Luxembourg</t>
  </si>
  <si>
    <t>Monaco</t>
  </si>
  <si>
    <t>Netherlands</t>
  </si>
  <si>
    <t xml:space="preserve">Norway </t>
  </si>
  <si>
    <t>Oman</t>
  </si>
  <si>
    <t>Qatar</t>
  </si>
  <si>
    <t>Republic of Korea</t>
  </si>
  <si>
    <t>Saudi Arabia</t>
  </si>
  <si>
    <t>Spain</t>
  </si>
  <si>
    <t xml:space="preserve">Sweden </t>
  </si>
  <si>
    <t>Switzerland</t>
  </si>
  <si>
    <t>United Kingdom</t>
  </si>
  <si>
    <t>United States</t>
  </si>
  <si>
    <t>Donor Governments and EC</t>
  </si>
  <si>
    <t>Alwaleed Philanthropies</t>
  </si>
  <si>
    <t>Bill &amp; Melinda Gates Foundation</t>
  </si>
  <si>
    <t>China Merchants Charitable Foundation</t>
  </si>
  <si>
    <t>Comic Relief</t>
  </si>
  <si>
    <t>ELMA Vaccines and Immunization Foundation</t>
  </si>
  <si>
    <t>"la Caixa" Foundation</t>
  </si>
  <si>
    <t>LDS Charities</t>
  </si>
  <si>
    <t>Lions Club International (LCIF)</t>
  </si>
  <si>
    <t>OPEC Fund for International Development (OFID)</t>
  </si>
  <si>
    <t>Reckitt Benckiser Group</t>
  </si>
  <si>
    <t>Red Nose Day Fund</t>
  </si>
  <si>
    <t>Private Contributions</t>
  </si>
  <si>
    <t>Sub-total</t>
  </si>
  <si>
    <t>Total contributions</t>
  </si>
  <si>
    <r>
      <t xml:space="preserve">Cash Received by Gavi </t>
    </r>
    <r>
      <rPr>
        <b/>
        <sz val="14"/>
        <color rgb="FF000000"/>
        <rFont val="Calibri"/>
        <family val="2"/>
        <scheme val="minor"/>
      </rPr>
      <t>(in support of Gavi for its role supporting the Polio Eradication and Endgame Strategic Plan 2013-2020)</t>
    </r>
  </si>
  <si>
    <t>Al Ansari Exchange</t>
  </si>
  <si>
    <t>Kuwait</t>
  </si>
  <si>
    <t>Rockefeller Foundation</t>
  </si>
  <si>
    <t>Children’s Investment Fund Foundation (UK)</t>
  </si>
  <si>
    <t>His Highness Sheikh Mohamed bin Zayed Al Nahyan</t>
  </si>
  <si>
    <t>International Federation of Pharmaceutical Wholesalers (IFPW)</t>
  </si>
  <si>
    <t>Mauritius</t>
  </si>
  <si>
    <t>COVAX AMC</t>
  </si>
  <si>
    <t>Colombia</t>
  </si>
  <si>
    <r>
      <t>Unilever</t>
    </r>
    <r>
      <rPr>
        <vertAlign val="superscript"/>
        <sz val="10"/>
        <rFont val="Arial"/>
        <family val="2"/>
      </rPr>
      <t>1</t>
    </r>
  </si>
  <si>
    <t>TikTok</t>
  </si>
  <si>
    <r>
      <t>Other private</t>
    </r>
    <r>
      <rPr>
        <vertAlign val="superscript"/>
        <sz val="10"/>
        <rFont val="Arial"/>
        <family val="2"/>
      </rPr>
      <t>2</t>
    </r>
  </si>
  <si>
    <r>
      <t>IFFIm Proceeds</t>
    </r>
    <r>
      <rPr>
        <b/>
        <vertAlign val="superscript"/>
        <sz val="10"/>
        <rFont val="Arial"/>
        <family val="2"/>
      </rPr>
      <t>3,4</t>
    </r>
  </si>
  <si>
    <r>
      <t>PCV AMC Proceeds</t>
    </r>
    <r>
      <rPr>
        <b/>
        <vertAlign val="superscript"/>
        <sz val="10"/>
        <rFont val="Arial"/>
        <family val="2"/>
      </rPr>
      <t>5</t>
    </r>
  </si>
  <si>
    <t>1 - Unilever provides resources to Gavi on a leveraged partnership project</t>
  </si>
  <si>
    <t>5 - AMC Proceeds: cash transfers from the World Bank to Gavi</t>
  </si>
  <si>
    <t>2000-2010 TOTAL</t>
  </si>
  <si>
    <t>2011-2015 TOTAL</t>
  </si>
  <si>
    <t>2016-2020 TOTAL</t>
  </si>
  <si>
    <t>GRAND TOTAL</t>
  </si>
  <si>
    <t>DONOR</t>
  </si>
  <si>
    <r>
      <t xml:space="preserve">GRAND TOTAL 
</t>
    </r>
    <r>
      <rPr>
        <b/>
        <sz val="9"/>
        <rFont val="Arial"/>
        <family val="2"/>
      </rPr>
      <t>(incl. COVAX AMC)</t>
    </r>
  </si>
  <si>
    <t>Finland</t>
  </si>
  <si>
    <t>Estonia</t>
  </si>
  <si>
    <t>Transferwise</t>
  </si>
  <si>
    <t>New Zealand</t>
  </si>
  <si>
    <t>Shell International</t>
  </si>
  <si>
    <t>3 - IFFIm Proceeds:  cash disbursements from the World Bank: to the GFA (2006-2012), to Gavi (2013-2020)</t>
  </si>
  <si>
    <t>UPS</t>
  </si>
  <si>
    <t>4 - In 2018, the Gavi Alliance Board approved Gavi supporting research and development of new vaccines by the Coalition for Epidemic Preparedness Innovations (CEPI) through an IFFIm transaction of NOK 600 million (US$ 66 million) to frontload an equivalent Norway grant for this purpose. Subsequently in 2020, the Gavi Alliance Board approved Gavi supporting research and development of new COVID-19 vaccines by CEPI, through a similar IFFIm arrangement. To date, IFFIm has raised US$ 206 million for this initiative supported by additional grants from Norway and Italy.</t>
  </si>
  <si>
    <t>2 - Includes contributions from:  Absolute Return for Kids (US$ 1.6m), Anglo American plc (US$ 3.0m), Dutch Postcode Lottery (US$ 3.2m) and JP Morgan (US$ 2.4m), in addition to other private sector donors (some contributions were initially paid to the GAVI Campaign)</t>
  </si>
  <si>
    <t>Reed Hastings and Patty Quillin</t>
  </si>
  <si>
    <t>Proceeds, as of 31 March 2021</t>
  </si>
  <si>
    <t>Austria</t>
  </si>
  <si>
    <t>TOTAL</t>
  </si>
  <si>
    <t>Niger</t>
  </si>
  <si>
    <t>Bhutan</t>
  </si>
  <si>
    <t>Thistledown Foundation</t>
  </si>
  <si>
    <t>Philippines</t>
  </si>
  <si>
    <t>King Salman / Gamers Without Borders</t>
  </si>
  <si>
    <t>Singapore</t>
  </si>
  <si>
    <t>Foundations, organisations and corporations</t>
  </si>
  <si>
    <t>Anonymous Swiss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</si>
</sst>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164" formatCode="_-* #,##0.00_-;\-* #,##0.00_-;_-* &quot;-&quot;??_-;_-@_-"/>
    <numFmt numFmtId="165" formatCode="#,##0.0"/>
    <numFmt numFmtId="166" formatCode="_-* #,##0.00\ _€_-;\-* #,##0.00\ _€_-;_-* &quot;-&quot;??\ _€_-;_-@_-"/>
    <numFmt numFmtId="167" formatCode="_-* #,##0_-;\-* #,##0_-;_-* &quot;-&quot;??_-;_-@_-"/>
    <numFmt numFmtId="168" formatCode="#,##0.0000"/>
    <numFmt numFmtId="169" formatCode="0.0000000"/>
    <numFmt numFmtId="170" formatCode="_(* #,##0.0_);_(* \(#,##0.0\);_(* &quot;-&quot;_);_(@_)"/>
    <numFmt numFmtId="171" formatCode="_(* #,##0.000000_);_(* \(#,##0.000000\);_(* &quot;-&quot;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FEFE1"/>
        <bgColor indexed="64"/>
      </patternFill>
    </fill>
    <fill>
      <patternFill patternType="solid">
        <fgColor rgb="FFDEDAC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4E4"/>
        <bgColor theme="0" tint="-0.14996795556505021"/>
      </patternFill>
    </fill>
    <fill>
      <patternFill patternType="mediumGray">
        <fgColor theme="0" tint="-0.24994659260841701"/>
        <bgColor theme="3" tint="0.79998168889431442"/>
      </patternFill>
    </fill>
    <fill>
      <patternFill patternType="mediumGray">
        <fgColor theme="0" tint="-0.24994659260841701"/>
        <bgColor rgb="FFFFFF0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/>
      <top/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medium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3" fontId="0" fillId="0" borderId="0" xfId="0" applyNumberFormat="1"/>
    <xf numFmtId="3" fontId="5" fillId="0" borderId="1" xfId="0" applyNumberFormat="1" applyFont="1" applyBorder="1"/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left" vertical="center"/>
    </xf>
    <xf numFmtId="165" fontId="9" fillId="0" borderId="0" xfId="0" applyNumberFormat="1" applyFont="1"/>
    <xf numFmtId="3" fontId="3" fillId="0" borderId="3" xfId="0" applyNumberFormat="1" applyFont="1" applyBorder="1" applyAlignment="1">
      <alignment horizontal="left" vertical="center"/>
    </xf>
    <xf numFmtId="165" fontId="7" fillId="0" borderId="3" xfId="0" applyNumberFormat="1" applyFont="1" applyFill="1" applyBorder="1" applyAlignment="1">
      <alignment horizontal="right" vertical="center"/>
    </xf>
    <xf numFmtId="165" fontId="0" fillId="0" borderId="0" xfId="0" applyNumberFormat="1"/>
    <xf numFmtId="3" fontId="3" fillId="0" borderId="3" xfId="0" applyNumberFormat="1" applyFont="1" applyFill="1" applyBorder="1" applyAlignment="1">
      <alignment horizontal="left" vertical="center"/>
    </xf>
    <xf numFmtId="3" fontId="3" fillId="0" borderId="9" xfId="0" applyNumberFormat="1" applyFont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left" vertical="center"/>
    </xf>
    <xf numFmtId="3" fontId="3" fillId="0" borderId="12" xfId="0" applyNumberFormat="1" applyFont="1" applyBorder="1" applyAlignment="1">
      <alignment horizontal="left" vertical="center" wrapText="1"/>
    </xf>
    <xf numFmtId="165" fontId="8" fillId="0" borderId="0" xfId="2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3" fontId="6" fillId="3" borderId="1" xfId="0" applyNumberFormat="1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left" vertical="center"/>
    </xf>
    <xf numFmtId="1" fontId="0" fillId="0" borderId="0" xfId="0" applyNumberFormat="1"/>
    <xf numFmtId="0" fontId="9" fillId="0" borderId="0" xfId="0" applyFont="1"/>
    <xf numFmtId="168" fontId="0" fillId="2" borderId="3" xfId="1" applyNumberFormat="1" applyFont="1" applyFill="1" applyBorder="1" applyAlignment="1">
      <alignment vertical="center"/>
    </xf>
    <xf numFmtId="3" fontId="0" fillId="0" borderId="12" xfId="0" applyNumberFormat="1" applyFont="1" applyBorder="1" applyAlignment="1">
      <alignment horizontal="left" vertical="center"/>
    </xf>
    <xf numFmtId="3" fontId="0" fillId="0" borderId="3" xfId="0" applyNumberFormat="1" applyFont="1" applyFill="1" applyBorder="1" applyAlignment="1">
      <alignment horizontal="left" vertical="center"/>
    </xf>
    <xf numFmtId="0" fontId="15" fillId="0" borderId="0" xfId="0" applyFont="1"/>
    <xf numFmtId="3" fontId="0" fillId="0" borderId="3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0" fontId="17" fillId="0" borderId="0" xfId="0" applyFont="1"/>
    <xf numFmtId="3" fontId="18" fillId="0" borderId="0" xfId="0" applyNumberFormat="1" applyFont="1"/>
    <xf numFmtId="0" fontId="0" fillId="0" borderId="0" xfId="0" applyFill="1" applyAlignment="1">
      <alignment horizontal="left" indent="1"/>
    </xf>
    <xf numFmtId="0" fontId="0" fillId="0" borderId="0" xfId="0"/>
    <xf numFmtId="165" fontId="7" fillId="0" borderId="6" xfId="0" applyNumberFormat="1" applyFont="1" applyFill="1" applyBorder="1" applyAlignment="1">
      <alignment horizontal="right" vertical="center"/>
    </xf>
    <xf numFmtId="0" fontId="0" fillId="0" borderId="0" xfId="0" applyFill="1" applyBorder="1"/>
    <xf numFmtId="3" fontId="0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indent="1"/>
    </xf>
    <xf numFmtId="165" fontId="7" fillId="2" borderId="3" xfId="1" applyNumberFormat="1" applyFont="1" applyFill="1" applyBorder="1" applyAlignment="1">
      <alignment vertical="center"/>
    </xf>
    <xf numFmtId="165" fontId="7" fillId="2" borderId="6" xfId="1" applyNumberFormat="1" applyFont="1" applyFill="1" applyBorder="1" applyAlignment="1">
      <alignment vertical="center"/>
    </xf>
    <xf numFmtId="169" fontId="0" fillId="0" borderId="0" xfId="0" applyNumberFormat="1"/>
    <xf numFmtId="3" fontId="0" fillId="0" borderId="4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0" fontId="19" fillId="7" borderId="1" xfId="0" applyNumberFormat="1" applyFont="1" applyFill="1" applyBorder="1" applyAlignment="1">
      <alignment horizontal="center" vertical="center" wrapText="1"/>
    </xf>
    <xf numFmtId="0" fontId="19" fillId="8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/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/>
    <xf numFmtId="3" fontId="7" fillId="0" borderId="6" xfId="0" applyNumberFormat="1" applyFont="1" applyFill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8" xfId="2" applyNumberFormat="1" applyFont="1" applyBorder="1" applyAlignment="1">
      <alignment horizontal="right" vertical="center"/>
    </xf>
    <xf numFmtId="3" fontId="7" fillId="2" borderId="3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3" xfId="0" applyNumberFormat="1" applyFont="1" applyBorder="1"/>
    <xf numFmtId="3" fontId="7" fillId="0" borderId="6" xfId="0" applyNumberFormat="1" applyFont="1" applyBorder="1"/>
    <xf numFmtId="3" fontId="7" fillId="0" borderId="9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3" fontId="7" fillId="0" borderId="12" xfId="1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/>
    <xf numFmtId="3" fontId="7" fillId="0" borderId="9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7" fillId="0" borderId="4" xfId="0" applyNumberFormat="1" applyFont="1" applyBorder="1" applyAlignment="1">
      <alignment vertical="center"/>
    </xf>
    <xf numFmtId="3" fontId="7" fillId="2" borderId="4" xfId="1" applyNumberFormat="1" applyFont="1" applyFill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2" borderId="3" xfId="1" applyNumberFormat="1" applyFont="1" applyFill="1" applyBorder="1" applyAlignment="1">
      <alignment vertical="center"/>
    </xf>
    <xf numFmtId="3" fontId="7" fillId="2" borderId="6" xfId="1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vertical="center"/>
    </xf>
    <xf numFmtId="3" fontId="7" fillId="0" borderId="6" xfId="1" applyNumberFormat="1" applyFont="1" applyFill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3" fontId="7" fillId="0" borderId="0" xfId="0" applyNumberFormat="1" applyFont="1"/>
    <xf numFmtId="3" fontId="8" fillId="3" borderId="1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horizontal="right" vertical="center"/>
    </xf>
    <xf numFmtId="3" fontId="12" fillId="4" borderId="1" xfId="2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/>
    </xf>
    <xf numFmtId="41" fontId="6" fillId="7" borderId="4" xfId="0" applyNumberFormat="1" applyFont="1" applyFill="1" applyBorder="1" applyAlignment="1">
      <alignment horizontal="right" vertical="center"/>
    </xf>
    <xf numFmtId="41" fontId="6" fillId="7" borderId="3" xfId="0" applyNumberFormat="1" applyFont="1" applyFill="1" applyBorder="1" applyAlignment="1">
      <alignment horizontal="right" vertical="center"/>
    </xf>
    <xf numFmtId="41" fontId="6" fillId="7" borderId="3" xfId="0" applyNumberFormat="1" applyFont="1" applyFill="1" applyBorder="1"/>
    <xf numFmtId="41" fontId="6" fillId="7" borderId="12" xfId="0" applyNumberFormat="1" applyFont="1" applyFill="1" applyBorder="1" applyAlignment="1">
      <alignment horizontal="right" vertical="center"/>
    </xf>
    <xf numFmtId="41" fontId="6" fillId="7" borderId="4" xfId="0" applyNumberFormat="1" applyFont="1" applyFill="1" applyBorder="1" applyAlignment="1">
      <alignment vertical="center"/>
    </xf>
    <xf numFmtId="41" fontId="6" fillId="7" borderId="3" xfId="0" applyNumberFormat="1" applyFont="1" applyFill="1" applyBorder="1" applyAlignment="1">
      <alignment vertical="center"/>
    </xf>
    <xf numFmtId="41" fontId="6" fillId="7" borderId="3" xfId="1" applyNumberFormat="1" applyFont="1" applyFill="1" applyBorder="1" applyAlignment="1">
      <alignment vertical="center"/>
    </xf>
    <xf numFmtId="41" fontId="6" fillId="3" borderId="1" xfId="2" applyNumberFormat="1" applyFont="1" applyFill="1" applyBorder="1" applyAlignment="1">
      <alignment vertical="center"/>
    </xf>
    <xf numFmtId="41" fontId="6" fillId="8" borderId="14" xfId="0" applyNumberFormat="1" applyFont="1" applyFill="1" applyBorder="1" applyAlignment="1">
      <alignment horizontal="right" vertical="center"/>
    </xf>
    <xf numFmtId="41" fontId="6" fillId="8" borderId="15" xfId="0" applyNumberFormat="1" applyFont="1" applyFill="1" applyBorder="1" applyAlignment="1">
      <alignment horizontal="right" vertical="center"/>
    </xf>
    <xf numFmtId="41" fontId="6" fillId="8" borderId="16" xfId="0" applyNumberFormat="1" applyFont="1" applyFill="1" applyBorder="1" applyAlignment="1">
      <alignment horizontal="right" vertical="center"/>
    </xf>
    <xf numFmtId="41" fontId="6" fillId="8" borderId="14" xfId="0" applyNumberFormat="1" applyFont="1" applyFill="1" applyBorder="1" applyAlignment="1">
      <alignment vertical="center"/>
    </xf>
    <xf numFmtId="41" fontId="6" fillId="8" borderId="15" xfId="0" applyNumberFormat="1" applyFont="1" applyFill="1" applyBorder="1" applyAlignment="1">
      <alignment vertical="center"/>
    </xf>
    <xf numFmtId="41" fontId="6" fillId="8" borderId="16" xfId="0" applyNumberFormat="1" applyFont="1" applyFill="1" applyBorder="1" applyAlignment="1">
      <alignment vertical="center"/>
    </xf>
    <xf numFmtId="41" fontId="6" fillId="8" borderId="4" xfId="0" applyNumberFormat="1" applyFont="1" applyFill="1" applyBorder="1" applyAlignment="1">
      <alignment horizontal="right" vertical="center"/>
    </xf>
    <xf numFmtId="41" fontId="6" fillId="8" borderId="4" xfId="0" applyNumberFormat="1" applyFont="1" applyFill="1" applyBorder="1" applyAlignment="1">
      <alignment vertical="center"/>
    </xf>
    <xf numFmtId="4" fontId="7" fillId="2" borderId="3" xfId="1" applyNumberFormat="1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horizontal="right" vertical="center"/>
    </xf>
    <xf numFmtId="41" fontId="11" fillId="9" borderId="1" xfId="2" applyNumberFormat="1" applyFont="1" applyFill="1" applyBorder="1" applyAlignment="1">
      <alignment horizontal="right" vertical="center"/>
    </xf>
    <xf numFmtId="41" fontId="6" fillId="10" borderId="1" xfId="0" applyNumberFormat="1" applyFont="1" applyFill="1" applyBorder="1" applyAlignment="1">
      <alignment horizontal="right" vertical="center"/>
    </xf>
    <xf numFmtId="41" fontId="6" fillId="10" borderId="1" xfId="2" applyNumberFormat="1" applyFont="1" applyFill="1" applyBorder="1" applyAlignment="1">
      <alignment vertical="center"/>
    </xf>
    <xf numFmtId="171" fontId="8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41" fontId="7" fillId="5" borderId="21" xfId="0" applyNumberFormat="1" applyFont="1" applyFill="1" applyBorder="1" applyAlignment="1">
      <alignment horizontal="right" vertical="center"/>
    </xf>
    <xf numFmtId="41" fontId="7" fillId="5" borderId="22" xfId="0" applyNumberFormat="1" applyFont="1" applyFill="1" applyBorder="1" applyAlignment="1">
      <alignment horizontal="right" vertical="center"/>
    </xf>
    <xf numFmtId="170" fontId="7" fillId="5" borderId="22" xfId="0" applyNumberFormat="1" applyFont="1" applyFill="1" applyBorder="1" applyAlignment="1">
      <alignment horizontal="right" vertical="center"/>
    </xf>
    <xf numFmtId="41" fontId="6" fillId="6" borderId="19" xfId="0" applyNumberFormat="1" applyFont="1" applyFill="1" applyBorder="1" applyAlignment="1">
      <alignment horizontal="right" vertical="center"/>
    </xf>
    <xf numFmtId="41" fontId="7" fillId="5" borderId="23" xfId="0" applyNumberFormat="1" applyFont="1" applyFill="1" applyBorder="1" applyAlignment="1">
      <alignment horizontal="right" vertical="center"/>
    </xf>
    <xf numFmtId="41" fontId="6" fillId="6" borderId="20" xfId="0" applyNumberFormat="1" applyFont="1" applyFill="1" applyBorder="1" applyAlignment="1">
      <alignment horizontal="right" vertical="center"/>
    </xf>
    <xf numFmtId="0" fontId="6" fillId="5" borderId="23" xfId="0" applyNumberFormat="1" applyFont="1" applyFill="1" applyBorder="1" applyAlignment="1">
      <alignment horizontal="center" vertical="center" wrapText="1"/>
    </xf>
    <xf numFmtId="0" fontId="6" fillId="5" borderId="24" xfId="0" applyNumberFormat="1" applyFont="1" applyFill="1" applyBorder="1" applyAlignment="1">
      <alignment horizontal="center" vertical="center" wrapText="1"/>
    </xf>
    <xf numFmtId="41" fontId="8" fillId="5" borderId="25" xfId="0" applyNumberFormat="1" applyFont="1" applyFill="1" applyBorder="1" applyAlignment="1">
      <alignment horizontal="right" vertical="center"/>
    </xf>
    <xf numFmtId="41" fontId="8" fillId="5" borderId="26" xfId="0" applyNumberFormat="1" applyFont="1" applyFill="1" applyBorder="1" applyAlignment="1">
      <alignment horizontal="right" vertical="center"/>
    </xf>
    <xf numFmtId="170" fontId="8" fillId="5" borderId="26" xfId="0" applyNumberFormat="1" applyFont="1" applyFill="1" applyBorder="1" applyAlignment="1">
      <alignment horizontal="right" vertical="center"/>
    </xf>
    <xf numFmtId="41" fontId="8" fillId="5" borderId="24" xfId="0" applyNumberFormat="1" applyFont="1" applyFill="1" applyBorder="1" applyAlignment="1">
      <alignment horizontal="right" vertical="center"/>
    </xf>
    <xf numFmtId="0" fontId="19" fillId="5" borderId="1" xfId="0" applyNumberFormat="1" applyFont="1" applyFill="1" applyBorder="1" applyAlignment="1">
      <alignment horizontal="center" vertical="center" wrapText="1"/>
    </xf>
    <xf numFmtId="41" fontId="7" fillId="5" borderId="25" xfId="0" applyNumberFormat="1" applyFont="1" applyFill="1" applyBorder="1" applyAlignment="1">
      <alignment horizontal="right" vertical="center"/>
    </xf>
    <xf numFmtId="41" fontId="7" fillId="5" borderId="26" xfId="0" applyNumberFormat="1" applyFont="1" applyFill="1" applyBorder="1" applyAlignment="1">
      <alignment horizontal="right" vertical="center"/>
    </xf>
    <xf numFmtId="41" fontId="7" fillId="5" borderId="24" xfId="0" applyNumberFormat="1" applyFont="1" applyFill="1" applyBorder="1" applyAlignment="1">
      <alignment horizontal="right" vertical="center"/>
    </xf>
    <xf numFmtId="41" fontId="0" fillId="0" borderId="0" xfId="0" applyNumberFormat="1"/>
    <xf numFmtId="0" fontId="19" fillId="0" borderId="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9" fillId="0" borderId="1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</cellXfs>
  <cellStyles count="7">
    <cellStyle name="Comma" xfId="1" builtinId="3"/>
    <cellStyle name="Comma 2" xfId="3" xr:uid="{00000000-0005-0000-0000-000001000000}"/>
    <cellStyle name="Comma 2 2" xfId="5" xr:uid="{00000000-0005-0000-0000-000002000000}"/>
    <cellStyle name="Comma_Sheet1" xfId="2" xr:uid="{00000000-0005-0000-0000-000003000000}"/>
    <cellStyle name="Normal" xfId="0" builtinId="0"/>
    <cellStyle name="Normal 2" xfId="4" xr:uid="{00000000-0005-0000-0000-000005000000}"/>
    <cellStyle name="Normal 2 2" xfId="6" xr:uid="{00000000-0005-0000-0000-000006000000}"/>
  </cellStyles>
  <dxfs count="0"/>
  <tableStyles count="0" defaultTableStyle="TableStyleMedium2" defaultPivotStyle="PivotStyleLight16"/>
  <colors>
    <mruColors>
      <color rgb="FFE4E4E4"/>
      <color rgb="FFDEDAC4"/>
      <color rgb="FFEFEFE1"/>
      <color rgb="FFE4E4D2"/>
      <color rgb="FFD3CDB1"/>
      <color rgb="FFEAE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0</xdr:rowOff>
    </xdr:from>
    <xdr:to>
      <xdr:col>0</xdr:col>
      <xdr:colOff>1640351</xdr:colOff>
      <xdr:row>0</xdr:row>
      <xdr:rowOff>777974</xdr:rowOff>
    </xdr:to>
    <xdr:pic>
      <xdr:nvPicPr>
        <xdr:cNvPr id="2" name="Picture 1" descr="Description: Description: Description: Description: cid:image001.png@01CFBDF7.83202F10">
          <a:extLst>
            <a:ext uri="{FF2B5EF4-FFF2-40B4-BE49-F238E27FC236}">
              <a16:creationId xmlns:a16="http://schemas.microsoft.com/office/drawing/2014/main" id="{D1AA2D7A-4915-425F-ACE4-3CCFA53C18A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0"/>
          <a:ext cx="1608602" cy="777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9A42D-2783-43F0-B01B-8FBCA71E5B27}">
  <sheetPr>
    <pageSetUpPr fitToPage="1"/>
  </sheetPr>
  <dimension ref="A1:AN99"/>
  <sheetViews>
    <sheetView showGridLines="0" tabSelected="1" zoomScale="90" zoomScaleNormal="90" zoomScaleSheetLayoutView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0.28515625" defaultRowHeight="12.75" outlineLevelCol="1" x14ac:dyDescent="0.2"/>
  <cols>
    <col min="1" max="1" width="32.7109375" style="39" customWidth="1"/>
    <col min="2" max="2" width="2.5703125" customWidth="1"/>
    <col min="3" max="13" width="7.7109375" style="39" hidden="1" customWidth="1" outlineLevel="1"/>
    <col min="14" max="14" width="11.85546875" style="39" customWidth="1" collapsed="1"/>
    <col min="15" max="15" width="2.5703125" customWidth="1"/>
    <col min="16" max="17" width="7.7109375" style="39" hidden="1" customWidth="1" outlineLevel="1"/>
    <col min="18" max="20" width="7.85546875" style="39" hidden="1" customWidth="1" outlineLevel="1"/>
    <col min="21" max="21" width="11.85546875" style="39" customWidth="1" collapsed="1"/>
    <col min="22" max="22" width="2.5703125" customWidth="1"/>
    <col min="23" max="23" width="7.85546875" style="39" customWidth="1" outlineLevel="1"/>
    <col min="24" max="24" width="8" style="39" customWidth="1" outlineLevel="1"/>
    <col min="25" max="25" width="7.85546875" style="39" customWidth="1" outlineLevel="1"/>
    <col min="26" max="27" width="8" style="39" customWidth="1" outlineLevel="1"/>
    <col min="28" max="28" width="11.85546875" style="39" customWidth="1"/>
    <col min="29" max="29" width="2.5703125" customWidth="1"/>
    <col min="30" max="30" width="8" style="39" customWidth="1" outlineLevel="1"/>
    <col min="31" max="31" width="2.5703125" style="39" customWidth="1"/>
    <col min="32" max="32" width="13.42578125" style="39" customWidth="1"/>
    <col min="33" max="33" width="4.42578125" style="39" customWidth="1"/>
    <col min="34" max="35" width="7.85546875" style="39" customWidth="1"/>
    <col min="36" max="36" width="11.85546875" style="39" customWidth="1"/>
    <col min="37" max="37" width="2.5703125" style="39" customWidth="1"/>
    <col min="38" max="38" width="13.42578125" style="39" customWidth="1"/>
    <col min="39" max="39" width="2.7109375" style="39" customWidth="1"/>
    <col min="40" max="40" width="13.28515625" style="39" bestFit="1" customWidth="1"/>
    <col min="41" max="41" width="12.7109375" style="39" bestFit="1" customWidth="1"/>
    <col min="42" max="16384" width="10.28515625" style="39"/>
  </cols>
  <sheetData>
    <row r="1" spans="1:38" ht="70.5" customHeight="1" x14ac:dyDescent="0.2"/>
    <row r="2" spans="1:38" ht="23.25" customHeight="1" x14ac:dyDescent="0.45">
      <c r="A2" s="33" t="s">
        <v>0</v>
      </c>
      <c r="P2" s="1"/>
      <c r="Q2" s="1"/>
      <c r="R2" s="1"/>
      <c r="S2" s="1"/>
      <c r="T2" s="1"/>
      <c r="U2" s="1"/>
      <c r="W2" s="1"/>
      <c r="X2" s="1"/>
      <c r="Y2" s="1"/>
      <c r="Z2" s="1"/>
      <c r="AA2" s="1"/>
      <c r="AB2" s="1"/>
      <c r="AD2" s="1"/>
    </row>
    <row r="3" spans="1:38" ht="15.75" x14ac:dyDescent="0.25">
      <c r="A3" s="2" t="s">
        <v>75</v>
      </c>
      <c r="P3" s="1"/>
      <c r="Q3" s="1"/>
      <c r="R3" s="1"/>
      <c r="S3" s="1"/>
      <c r="T3" s="1"/>
      <c r="U3" s="1"/>
      <c r="W3" s="1"/>
      <c r="X3" s="1"/>
      <c r="Y3" s="1"/>
      <c r="Z3" s="1"/>
      <c r="AA3" s="1"/>
      <c r="AB3" s="1"/>
      <c r="AD3" s="1"/>
    </row>
    <row r="4" spans="1:38" ht="16.5" thickBot="1" x14ac:dyDescent="0.3">
      <c r="A4" s="3" t="s">
        <v>1</v>
      </c>
      <c r="C4" s="4"/>
      <c r="D4" s="4"/>
      <c r="E4" s="4"/>
      <c r="F4" s="4"/>
      <c r="G4" s="4"/>
      <c r="H4" s="4"/>
      <c r="I4" s="4"/>
      <c r="J4" s="4"/>
    </row>
    <row r="5" spans="1:38" ht="33" customHeight="1" thickBot="1" x14ac:dyDescent="0.3">
      <c r="A5" s="37"/>
      <c r="C5" s="4"/>
      <c r="D5" s="4"/>
      <c r="E5" s="4"/>
      <c r="F5" s="4"/>
      <c r="G5" s="4"/>
      <c r="H5" s="4"/>
      <c r="I5" s="4"/>
      <c r="J5" s="4"/>
      <c r="AH5" s="142" t="s">
        <v>50</v>
      </c>
      <c r="AI5" s="143"/>
      <c r="AJ5" s="144"/>
      <c r="AL5" s="138" t="s">
        <v>64</v>
      </c>
    </row>
    <row r="6" spans="1:38" ht="30.75" thickBot="1" x14ac:dyDescent="0.25">
      <c r="A6" s="48" t="s">
        <v>63</v>
      </c>
      <c r="C6" s="6">
        <v>2000</v>
      </c>
      <c r="D6" s="6">
        <v>2001</v>
      </c>
      <c r="E6" s="6">
        <v>2002</v>
      </c>
      <c r="F6" s="6">
        <v>2003</v>
      </c>
      <c r="G6" s="6">
        <v>2004</v>
      </c>
      <c r="H6" s="7">
        <v>2005</v>
      </c>
      <c r="I6" s="8">
        <v>2006</v>
      </c>
      <c r="J6" s="7">
        <v>2007</v>
      </c>
      <c r="K6" s="8">
        <v>2008</v>
      </c>
      <c r="L6" s="7">
        <v>2009</v>
      </c>
      <c r="M6" s="7">
        <v>2010</v>
      </c>
      <c r="N6" s="49" t="s">
        <v>59</v>
      </c>
      <c r="P6" s="7">
        <v>2011</v>
      </c>
      <c r="Q6" s="7">
        <v>2012</v>
      </c>
      <c r="R6" s="7">
        <v>2013</v>
      </c>
      <c r="S6" s="7">
        <v>2014</v>
      </c>
      <c r="T6" s="7">
        <v>2015</v>
      </c>
      <c r="U6" s="49" t="s">
        <v>60</v>
      </c>
      <c r="W6" s="7">
        <v>2016</v>
      </c>
      <c r="X6" s="7">
        <v>2017</v>
      </c>
      <c r="Y6" s="7">
        <v>2018</v>
      </c>
      <c r="Z6" s="7">
        <v>2019</v>
      </c>
      <c r="AA6" s="7">
        <v>2020</v>
      </c>
      <c r="AB6" s="49" t="s">
        <v>61</v>
      </c>
      <c r="AD6" s="7">
        <v>2021</v>
      </c>
      <c r="AF6" s="50" t="s">
        <v>62</v>
      </c>
      <c r="AH6" s="127">
        <v>2020</v>
      </c>
      <c r="AI6" s="128">
        <v>2021</v>
      </c>
      <c r="AJ6" s="133" t="s">
        <v>77</v>
      </c>
      <c r="AL6" s="139"/>
    </row>
    <row r="7" spans="1:38" ht="13.5" thickBot="1" x14ac:dyDescent="0.25">
      <c r="A7" s="9" t="s">
        <v>2</v>
      </c>
      <c r="C7" s="51"/>
      <c r="D7" s="51"/>
      <c r="E7" s="51"/>
      <c r="F7" s="51"/>
      <c r="G7" s="51"/>
      <c r="H7" s="52"/>
      <c r="I7" s="53">
        <v>5</v>
      </c>
      <c r="J7" s="54">
        <v>5</v>
      </c>
      <c r="K7" s="55">
        <v>5</v>
      </c>
      <c r="L7" s="53">
        <v>5</v>
      </c>
      <c r="M7" s="53">
        <v>8.6</v>
      </c>
      <c r="N7" s="98">
        <f>SUM(C7:M7)</f>
        <v>28.6</v>
      </c>
      <c r="P7" s="53">
        <v>48.844000000000001</v>
      </c>
      <c r="Q7" s="53">
        <v>56.485500000000002</v>
      </c>
      <c r="R7" s="53">
        <v>48.277250000000002</v>
      </c>
      <c r="S7" s="53">
        <f>45.79575+42.825</f>
        <v>88.620750000000001</v>
      </c>
      <c r="T7" s="53"/>
      <c r="U7" s="98">
        <f>SUM(P7:T7)</f>
        <v>242.22750000000002</v>
      </c>
      <c r="W7" s="53">
        <v>37.579124999999998</v>
      </c>
      <c r="X7" s="53">
        <f>1.852+13.65175</f>
        <v>15.50375</v>
      </c>
      <c r="Y7" s="53"/>
      <c r="Z7" s="53">
        <f>22.31575+20.4070375+24.071875</f>
        <v>66.794662500000001</v>
      </c>
      <c r="AA7" s="53">
        <f>7.665+29.44425</f>
        <v>37.109250000000003</v>
      </c>
      <c r="AB7" s="98">
        <f>SUM(W7:AA7)</f>
        <v>156.98678749999999</v>
      </c>
      <c r="AD7" s="53"/>
      <c r="AF7" s="106">
        <f>SUM(AB7,U7,N7,AD7)</f>
        <v>427.81428750000003</v>
      </c>
      <c r="AG7" s="43"/>
      <c r="AH7" s="121">
        <v>28.511231739999999</v>
      </c>
      <c r="AI7" s="134"/>
      <c r="AJ7" s="129">
        <f>SUM(AH7:AI7)</f>
        <v>28.511231739999999</v>
      </c>
      <c r="AL7" s="106">
        <f>SUM(AF7,AJ7)</f>
        <v>456.32551924000006</v>
      </c>
    </row>
    <row r="8" spans="1:38" ht="13.5" thickBot="1" x14ac:dyDescent="0.25">
      <c r="A8" s="34" t="s">
        <v>76</v>
      </c>
      <c r="B8" s="39"/>
      <c r="C8" s="51"/>
      <c r="D8" s="60"/>
      <c r="E8" s="51"/>
      <c r="F8" s="51"/>
      <c r="G8" s="60"/>
      <c r="H8" s="56"/>
      <c r="I8" s="57"/>
      <c r="J8" s="57"/>
      <c r="K8" s="58"/>
      <c r="L8" s="57"/>
      <c r="M8" s="57"/>
      <c r="N8" s="99">
        <f t="shared" ref="N8" si="0">SUM(C8:M8)</f>
        <v>0</v>
      </c>
      <c r="O8" s="39"/>
      <c r="P8" s="57"/>
      <c r="Q8" s="59"/>
      <c r="R8" s="59"/>
      <c r="S8" s="59"/>
      <c r="T8" s="59"/>
      <c r="U8" s="99">
        <f t="shared" ref="U8" si="1">SUM(P8:T8)</f>
        <v>0</v>
      </c>
      <c r="V8" s="39"/>
      <c r="W8" s="59"/>
      <c r="X8" s="59"/>
      <c r="Y8" s="59"/>
      <c r="Z8" s="59"/>
      <c r="AA8" s="59"/>
      <c r="AB8" s="99">
        <f t="shared" ref="AB8" si="2">SUM(W8:AA8)</f>
        <v>0</v>
      </c>
      <c r="AC8" s="39"/>
      <c r="AD8" s="59"/>
      <c r="AF8" s="107">
        <f t="shared" ref="AF8" si="3">SUM(AB8,U8,N8,AD8)</f>
        <v>0</v>
      </c>
      <c r="AG8" s="43"/>
      <c r="AH8" s="122"/>
      <c r="AI8" s="135">
        <v>2.8351199999999999</v>
      </c>
      <c r="AJ8" s="130">
        <f t="shared" ref="AJ8:AJ42" si="4">SUM(AH8:AI8)</f>
        <v>2.8351199999999999</v>
      </c>
      <c r="AL8" s="107">
        <f t="shared" ref="AL8:AL42" si="5">SUM(AF8,AJ8)</f>
        <v>2.8351199999999999</v>
      </c>
    </row>
    <row r="9" spans="1:38" ht="13.5" thickBot="1" x14ac:dyDescent="0.25">
      <c r="A9" s="34" t="s">
        <v>79</v>
      </c>
      <c r="B9" s="39"/>
      <c r="C9" s="51"/>
      <c r="D9" s="60"/>
      <c r="E9" s="51"/>
      <c r="F9" s="51"/>
      <c r="G9" s="60"/>
      <c r="H9" s="56"/>
      <c r="I9" s="57"/>
      <c r="J9" s="57"/>
      <c r="K9" s="58"/>
      <c r="L9" s="57"/>
      <c r="M9" s="57"/>
      <c r="N9" s="99">
        <f t="shared" ref="N9" si="6">SUM(C9:M9)</f>
        <v>0</v>
      </c>
      <c r="O9" s="39"/>
      <c r="P9" s="57"/>
      <c r="Q9" s="59"/>
      <c r="R9" s="59"/>
      <c r="S9" s="59"/>
      <c r="T9" s="59"/>
      <c r="U9" s="99">
        <f t="shared" ref="U9" si="7">SUM(P9:T9)</f>
        <v>0</v>
      </c>
      <c r="V9" s="39"/>
      <c r="W9" s="59"/>
      <c r="X9" s="59"/>
      <c r="Y9" s="59"/>
      <c r="Z9" s="59"/>
      <c r="AA9" s="59"/>
      <c r="AB9" s="99">
        <f t="shared" ref="AB9" si="8">SUM(W9:AA9)</f>
        <v>0</v>
      </c>
      <c r="AC9" s="39"/>
      <c r="AD9" s="59"/>
      <c r="AF9" s="107">
        <f t="shared" ref="AF9" si="9">SUM(AB9,U9,N9,AD9)</f>
        <v>0</v>
      </c>
      <c r="AG9" s="43"/>
      <c r="AH9" s="122"/>
      <c r="AI9" s="135">
        <v>5.0000000000000001E-3</v>
      </c>
      <c r="AJ9" s="130">
        <f t="shared" ref="AJ9" si="10">SUM(AH9:AI9)</f>
        <v>5.0000000000000001E-3</v>
      </c>
      <c r="AL9" s="107">
        <f t="shared" ref="AL9" si="11">SUM(AF9,AJ9)</f>
        <v>5.0000000000000001E-3</v>
      </c>
    </row>
    <row r="10" spans="1:38" ht="13.5" thickBot="1" x14ac:dyDescent="0.25">
      <c r="A10" s="11" t="s">
        <v>3</v>
      </c>
      <c r="C10" s="51"/>
      <c r="D10" s="51"/>
      <c r="E10" s="51">
        <v>1.88035602</v>
      </c>
      <c r="F10" s="51">
        <v>4.7554213499999998</v>
      </c>
      <c r="G10" s="51">
        <v>9.0627342500000001</v>
      </c>
      <c r="H10" s="56">
        <v>130.86864059999999</v>
      </c>
      <c r="I10" s="57">
        <v>5.1903114199999996</v>
      </c>
      <c r="J10" s="57"/>
      <c r="K10" s="58"/>
      <c r="L10" s="57"/>
      <c r="M10" s="57"/>
      <c r="N10" s="99">
        <f t="shared" ref="N10:N42" si="12">SUM(C10:M10)</f>
        <v>151.75746364</v>
      </c>
      <c r="P10" s="57">
        <v>20.736000000000001</v>
      </c>
      <c r="Q10" s="59">
        <v>15.128593039999998</v>
      </c>
      <c r="R10" s="59">
        <v>38.974714310000003</v>
      </c>
      <c r="S10" s="59">
        <f>18.32844575+18.32844575</f>
        <v>36.6568915</v>
      </c>
      <c r="T10" s="59">
        <v>8.0340000000000007</v>
      </c>
      <c r="U10" s="99">
        <f t="shared" ref="U10:U42" si="13">SUM(P10:T10)</f>
        <v>119.53019885000002</v>
      </c>
      <c r="W10" s="59">
        <v>77.10330716</v>
      </c>
      <c r="X10" s="59">
        <f>76.26582082+16.27927621</f>
        <v>92.545097029999994</v>
      </c>
      <c r="Y10" s="59">
        <v>76.86314084</v>
      </c>
      <c r="Z10" s="59">
        <v>94.881251149999997</v>
      </c>
      <c r="AA10" s="59">
        <v>68.355820251599994</v>
      </c>
      <c r="AB10" s="99">
        <f t="shared" ref="AB10:AB42" si="14">SUM(W10:AA10)</f>
        <v>409.7486164316</v>
      </c>
      <c r="AD10" s="59"/>
      <c r="AF10" s="107">
        <f t="shared" ref="AF10:AF42" si="15">SUM(AB10,U10,N10,AD10)</f>
        <v>681.0362789216</v>
      </c>
      <c r="AG10" s="43"/>
      <c r="AH10" s="122"/>
      <c r="AI10" s="135">
        <f>25+86.17988092</f>
        <v>111.17988092</v>
      </c>
      <c r="AJ10" s="130">
        <f t="shared" si="4"/>
        <v>111.17988092</v>
      </c>
      <c r="AL10" s="107">
        <f t="shared" si="5"/>
        <v>792.21615984159996</v>
      </c>
    </row>
    <row r="11" spans="1:38" ht="13.5" thickBot="1" x14ac:dyDescent="0.25">
      <c r="A11" s="34" t="s">
        <v>4</v>
      </c>
      <c r="C11" s="51"/>
      <c r="D11" s="60"/>
      <c r="E11" s="51"/>
      <c r="F11" s="51"/>
      <c r="G11" s="60"/>
      <c r="H11" s="56"/>
      <c r="I11" s="57"/>
      <c r="J11" s="57"/>
      <c r="K11" s="58"/>
      <c r="L11" s="57"/>
      <c r="M11" s="57"/>
      <c r="N11" s="99">
        <f t="shared" si="12"/>
        <v>0</v>
      </c>
      <c r="P11" s="57"/>
      <c r="Q11" s="59"/>
      <c r="R11" s="59"/>
      <c r="S11" s="59"/>
      <c r="T11" s="59"/>
      <c r="U11" s="99">
        <f t="shared" si="13"/>
        <v>0</v>
      </c>
      <c r="W11" s="59">
        <v>2</v>
      </c>
      <c r="X11" s="59">
        <v>1</v>
      </c>
      <c r="Y11" s="59">
        <v>0.5</v>
      </c>
      <c r="Z11" s="59">
        <v>0.5</v>
      </c>
      <c r="AA11" s="59">
        <v>1</v>
      </c>
      <c r="AB11" s="99">
        <f t="shared" si="14"/>
        <v>5</v>
      </c>
      <c r="AD11" s="59"/>
      <c r="AF11" s="107">
        <f t="shared" si="15"/>
        <v>5</v>
      </c>
      <c r="AG11" s="43"/>
      <c r="AH11" s="122"/>
      <c r="AI11" s="135"/>
      <c r="AJ11" s="130">
        <f t="shared" si="4"/>
        <v>0</v>
      </c>
      <c r="AL11" s="107">
        <f t="shared" si="5"/>
        <v>5</v>
      </c>
    </row>
    <row r="12" spans="1:38" ht="13.5" thickBot="1" x14ac:dyDescent="0.25">
      <c r="A12" s="34" t="s">
        <v>51</v>
      </c>
      <c r="C12" s="51"/>
      <c r="D12" s="60"/>
      <c r="E12" s="51"/>
      <c r="F12" s="51"/>
      <c r="G12" s="60"/>
      <c r="H12" s="56"/>
      <c r="I12" s="57"/>
      <c r="J12" s="57"/>
      <c r="K12" s="58"/>
      <c r="L12" s="57"/>
      <c r="M12" s="57"/>
      <c r="N12" s="99">
        <f t="shared" si="12"/>
        <v>0</v>
      </c>
      <c r="P12" s="57"/>
      <c r="Q12" s="59"/>
      <c r="R12" s="59"/>
      <c r="S12" s="59"/>
      <c r="T12" s="59"/>
      <c r="U12" s="99">
        <f t="shared" si="13"/>
        <v>0</v>
      </c>
      <c r="W12" s="59"/>
      <c r="X12" s="59"/>
      <c r="Y12" s="59"/>
      <c r="Z12" s="59"/>
      <c r="AA12" s="59"/>
      <c r="AB12" s="99">
        <f t="shared" si="14"/>
        <v>0</v>
      </c>
      <c r="AD12" s="59"/>
      <c r="AF12" s="107">
        <f t="shared" si="15"/>
        <v>0</v>
      </c>
      <c r="AG12" s="43"/>
      <c r="AH12" s="122">
        <v>0.5</v>
      </c>
      <c r="AI12" s="135"/>
      <c r="AJ12" s="130">
        <f t="shared" si="4"/>
        <v>0.5</v>
      </c>
      <c r="AL12" s="107">
        <f t="shared" si="5"/>
        <v>0.5</v>
      </c>
    </row>
    <row r="13" spans="1:38" ht="13.5" thickBot="1" x14ac:dyDescent="0.25">
      <c r="A13" s="11" t="s">
        <v>5</v>
      </c>
      <c r="C13" s="51"/>
      <c r="D13" s="60">
        <v>1.1474074299999999</v>
      </c>
      <c r="E13" s="51"/>
      <c r="F13" s="51"/>
      <c r="G13" s="60">
        <v>3.3388792199999999</v>
      </c>
      <c r="H13" s="61">
        <v>3.4161073900000001</v>
      </c>
      <c r="I13" s="57">
        <v>4.4112623400000004</v>
      </c>
      <c r="J13" s="57">
        <v>4.7375400000000001</v>
      </c>
      <c r="K13" s="58"/>
      <c r="L13" s="57">
        <v>9.0983955899999991</v>
      </c>
      <c r="M13" s="57">
        <v>1.807207</v>
      </c>
      <c r="N13" s="99">
        <f t="shared" si="12"/>
        <v>27.956798970000001</v>
      </c>
      <c r="P13" s="57">
        <v>8.798</v>
      </c>
      <c r="Q13" s="59">
        <v>4.3516250000000003</v>
      </c>
      <c r="R13" s="59">
        <v>4.5993378800000002</v>
      </c>
      <c r="S13" s="59"/>
      <c r="T13" s="59"/>
      <c r="U13" s="99">
        <f t="shared" si="13"/>
        <v>17.748962880000001</v>
      </c>
      <c r="W13" s="59"/>
      <c r="X13" s="59"/>
      <c r="Y13" s="59">
        <v>3.8159674899999998</v>
      </c>
      <c r="Z13" s="59">
        <v>3.6509349800000002</v>
      </c>
      <c r="AA13" s="59">
        <v>7.8875910999999999</v>
      </c>
      <c r="AB13" s="99">
        <f t="shared" si="14"/>
        <v>15.354493569999999</v>
      </c>
      <c r="AD13" s="59"/>
      <c r="AF13" s="107">
        <f t="shared" si="15"/>
        <v>61.060255419999997</v>
      </c>
      <c r="AG13" s="43"/>
      <c r="AH13" s="122"/>
      <c r="AI13" s="135">
        <v>7.91851255</v>
      </c>
      <c r="AJ13" s="130">
        <f t="shared" si="4"/>
        <v>7.91851255</v>
      </c>
      <c r="AL13" s="107">
        <f t="shared" si="5"/>
        <v>68.978767969999993</v>
      </c>
    </row>
    <row r="14" spans="1:38" ht="13.5" thickBot="1" x14ac:dyDescent="0.25">
      <c r="A14" s="11" t="s">
        <v>66</v>
      </c>
      <c r="B14" s="39"/>
      <c r="C14" s="51"/>
      <c r="D14" s="60"/>
      <c r="E14" s="51"/>
      <c r="F14" s="60"/>
      <c r="G14" s="60"/>
      <c r="H14" s="61"/>
      <c r="I14" s="57"/>
      <c r="J14" s="57"/>
      <c r="K14" s="58"/>
      <c r="L14" s="57"/>
      <c r="M14" s="57"/>
      <c r="N14" s="99">
        <f t="shared" si="12"/>
        <v>0</v>
      </c>
      <c r="O14" s="39"/>
      <c r="P14" s="57"/>
      <c r="Q14" s="59"/>
      <c r="R14" s="59"/>
      <c r="S14" s="59"/>
      <c r="T14" s="59"/>
      <c r="U14" s="99">
        <f t="shared" si="13"/>
        <v>0</v>
      </c>
      <c r="V14" s="39"/>
      <c r="W14" s="59"/>
      <c r="X14" s="59"/>
      <c r="Y14" s="59"/>
      <c r="Z14" s="59"/>
      <c r="AA14" s="59"/>
      <c r="AB14" s="99">
        <f t="shared" si="14"/>
        <v>0</v>
      </c>
      <c r="AC14" s="39"/>
      <c r="AD14" s="59"/>
      <c r="AF14" s="107">
        <f t="shared" si="15"/>
        <v>0</v>
      </c>
      <c r="AG14" s="43"/>
      <c r="AH14" s="123">
        <v>8.5266999999999996E-2</v>
      </c>
      <c r="AI14" s="135"/>
      <c r="AJ14" s="131">
        <f t="shared" si="4"/>
        <v>8.5266999999999996E-2</v>
      </c>
      <c r="AL14" s="107">
        <f t="shared" si="5"/>
        <v>8.5266999999999996E-2</v>
      </c>
    </row>
    <row r="15" spans="1:38" ht="13.5" thickBot="1" x14ac:dyDescent="0.25">
      <c r="A15" s="11" t="s">
        <v>6</v>
      </c>
      <c r="C15" s="51"/>
      <c r="D15" s="51"/>
      <c r="E15" s="51"/>
      <c r="F15" s="60">
        <v>1.26</v>
      </c>
      <c r="G15" s="51"/>
      <c r="H15" s="61"/>
      <c r="I15" s="57"/>
      <c r="J15" s="57">
        <v>4.84964</v>
      </c>
      <c r="K15" s="58">
        <v>23.129114000000001</v>
      </c>
      <c r="L15" s="57">
        <v>28.630130000000001</v>
      </c>
      <c r="M15" s="57"/>
      <c r="N15" s="99">
        <f t="shared" si="12"/>
        <v>57.868884000000001</v>
      </c>
      <c r="P15" s="62"/>
      <c r="Q15" s="59">
        <v>12.54732252</v>
      </c>
      <c r="R15" s="59"/>
      <c r="S15" s="59"/>
      <c r="T15" s="59">
        <v>22.27009</v>
      </c>
      <c r="U15" s="99">
        <f t="shared" si="13"/>
        <v>34.817412519999998</v>
      </c>
      <c r="W15" s="59">
        <v>14.401260000000001</v>
      </c>
      <c r="X15" s="59">
        <v>7.8138899999999998</v>
      </c>
      <c r="Y15" s="59">
        <f>30.83275+22.80911886</f>
        <v>53.641868860000002</v>
      </c>
      <c r="Z15" s="59">
        <f>9.8694+80.7264</f>
        <v>90.595799999999997</v>
      </c>
      <c r="AA15" s="59">
        <v>16.350000000000001</v>
      </c>
      <c r="AB15" s="99">
        <f t="shared" si="14"/>
        <v>182.80281886</v>
      </c>
      <c r="AD15" s="59">
        <v>30.832750000000001</v>
      </c>
      <c r="AF15" s="107">
        <f t="shared" si="15"/>
        <v>306.32186537999996</v>
      </c>
      <c r="AG15" s="43"/>
      <c r="AH15" s="122"/>
      <c r="AI15" s="135"/>
      <c r="AJ15" s="130">
        <f t="shared" si="4"/>
        <v>0</v>
      </c>
      <c r="AL15" s="107">
        <f t="shared" si="5"/>
        <v>306.32186537999996</v>
      </c>
    </row>
    <row r="16" spans="1:38" ht="13.5" thickBot="1" x14ac:dyDescent="0.25">
      <c r="A16" s="11" t="s">
        <v>65</v>
      </c>
      <c r="B16" s="39"/>
      <c r="C16" s="51"/>
      <c r="D16" s="51"/>
      <c r="E16" s="51"/>
      <c r="F16" s="60"/>
      <c r="G16" s="60"/>
      <c r="H16" s="61"/>
      <c r="I16" s="57"/>
      <c r="J16" s="57"/>
      <c r="K16" s="58"/>
      <c r="L16" s="57"/>
      <c r="M16" s="57"/>
      <c r="N16" s="99">
        <f t="shared" si="12"/>
        <v>0</v>
      </c>
      <c r="O16" s="39"/>
      <c r="P16" s="62"/>
      <c r="Q16" s="59"/>
      <c r="R16" s="59"/>
      <c r="S16" s="59"/>
      <c r="T16" s="59"/>
      <c r="U16" s="99">
        <f t="shared" si="13"/>
        <v>0</v>
      </c>
      <c r="V16" s="39"/>
      <c r="W16" s="59"/>
      <c r="X16" s="59"/>
      <c r="Y16" s="59"/>
      <c r="Z16" s="59"/>
      <c r="AA16" s="59">
        <v>3.0407500000000001</v>
      </c>
      <c r="AB16" s="99">
        <f t="shared" si="14"/>
        <v>3.0407500000000001</v>
      </c>
      <c r="AC16" s="39"/>
      <c r="AD16" s="59"/>
      <c r="AF16" s="107">
        <f t="shared" si="15"/>
        <v>3.0407500000000001</v>
      </c>
      <c r="AG16" s="43"/>
      <c r="AH16" s="122"/>
      <c r="AI16" s="135"/>
      <c r="AJ16" s="130">
        <f t="shared" si="4"/>
        <v>0</v>
      </c>
      <c r="AL16" s="107">
        <f t="shared" si="5"/>
        <v>3.0407500000000001</v>
      </c>
    </row>
    <row r="17" spans="1:38" ht="13.5" thickBot="1" x14ac:dyDescent="0.25">
      <c r="A17" s="34" t="s">
        <v>7</v>
      </c>
      <c r="C17" s="51"/>
      <c r="D17" s="51"/>
      <c r="E17" s="51"/>
      <c r="F17" s="51"/>
      <c r="G17" s="60">
        <v>6.0291139200000003</v>
      </c>
      <c r="H17" s="61"/>
      <c r="I17" s="57">
        <v>12.63</v>
      </c>
      <c r="J17" s="57"/>
      <c r="K17" s="58"/>
      <c r="L17" s="57"/>
      <c r="M17" s="57"/>
      <c r="N17" s="99">
        <f t="shared" si="12"/>
        <v>18.659113920000003</v>
      </c>
      <c r="P17" s="57">
        <v>34.5</v>
      </c>
      <c r="Q17" s="59">
        <v>20.102150000000002</v>
      </c>
      <c r="R17" s="59">
        <v>34.93515</v>
      </c>
      <c r="S17" s="59">
        <v>6.8425500000000001</v>
      </c>
      <c r="T17" s="59">
        <v>5.8586</v>
      </c>
      <c r="U17" s="99">
        <f t="shared" si="13"/>
        <v>102.23845</v>
      </c>
      <c r="W17" s="59">
        <v>134.53778</v>
      </c>
      <c r="X17" s="59"/>
      <c r="Y17" s="59"/>
      <c r="Z17" s="59"/>
      <c r="AA17" s="59">
        <v>18.169499999999999</v>
      </c>
      <c r="AB17" s="99">
        <f t="shared" si="14"/>
        <v>152.70728</v>
      </c>
      <c r="AD17" s="59"/>
      <c r="AF17" s="107">
        <f t="shared" si="15"/>
        <v>273.60484392000001</v>
      </c>
      <c r="AG17" s="43"/>
      <c r="AH17" s="122"/>
      <c r="AI17" s="135"/>
      <c r="AJ17" s="130">
        <f t="shared" si="4"/>
        <v>0</v>
      </c>
      <c r="AL17" s="107">
        <f t="shared" si="5"/>
        <v>273.60484392000001</v>
      </c>
    </row>
    <row r="18" spans="1:38" ht="13.5" thickBot="1" x14ac:dyDescent="0.25">
      <c r="A18" s="14" t="s">
        <v>8</v>
      </c>
      <c r="C18" s="51"/>
      <c r="D18" s="51"/>
      <c r="E18" s="51"/>
      <c r="F18" s="51"/>
      <c r="G18" s="51"/>
      <c r="H18" s="61"/>
      <c r="I18" s="57">
        <v>5.2603999999999997</v>
      </c>
      <c r="J18" s="57">
        <v>5.9480000000000004</v>
      </c>
      <c r="K18" s="58"/>
      <c r="L18" s="57">
        <v>5.7213799999999999</v>
      </c>
      <c r="M18" s="57">
        <v>5.13598</v>
      </c>
      <c r="N18" s="99">
        <f t="shared" si="12"/>
        <v>22.065760000000001</v>
      </c>
      <c r="P18" s="57">
        <v>8.5</v>
      </c>
      <c r="Q18" s="59">
        <v>34.692483279999998</v>
      </c>
      <c r="R18" s="59">
        <v>35.390059999999998</v>
      </c>
      <c r="S18" s="59">
        <f>11.6316+27.47318393+11.2563+9.96968308</f>
        <v>60.330767010000002</v>
      </c>
      <c r="T18" s="59">
        <f>13.6327654+11.148+11.243+11.265+10.744+5.26329122</f>
        <v>63.296056620000002</v>
      </c>
      <c r="U18" s="99">
        <f t="shared" si="13"/>
        <v>202.20936691</v>
      </c>
      <c r="W18" s="59">
        <v>115.24406384</v>
      </c>
      <c r="X18" s="59">
        <f>6.73968835+4.13493716+21.6599+11.2108+11.82085255+6.98574453+23.50283884+11.75141942+11.77411421+6.99919409+21.38212304+11.7821</f>
        <v>149.74371219</v>
      </c>
      <c r="Y18" s="59">
        <f>12.1637438+3.0409359375+9.1228078125+48.654975+34.1016+22.6642+28.33025</f>
        <v>158.07851255</v>
      </c>
      <c r="Z18" s="59">
        <f>18.67846875+18.69210195+18.66483555+18.67846875+77.91</f>
        <v>152.623875</v>
      </c>
      <c r="AA18" s="59">
        <f>18.962625+37.92525+18.962625</f>
        <v>75.850499999999997</v>
      </c>
      <c r="AB18" s="99">
        <f t="shared" si="14"/>
        <v>651.54066358</v>
      </c>
      <c r="AD18" s="59"/>
      <c r="AF18" s="107">
        <f t="shared" si="15"/>
        <v>875.81579048999993</v>
      </c>
      <c r="AG18" s="43"/>
      <c r="AH18" s="122">
        <v>121.14499313</v>
      </c>
      <c r="AI18" s="135"/>
      <c r="AJ18" s="130">
        <f t="shared" si="4"/>
        <v>121.14499313</v>
      </c>
      <c r="AL18" s="107">
        <f t="shared" si="5"/>
        <v>996.96078361999992</v>
      </c>
    </row>
    <row r="19" spans="1:38" ht="13.5" thickBot="1" x14ac:dyDescent="0.25">
      <c r="A19" s="32" t="s">
        <v>9</v>
      </c>
      <c r="C19" s="51"/>
      <c r="D19" s="51"/>
      <c r="E19" s="60"/>
      <c r="F19" s="60"/>
      <c r="G19" s="60"/>
      <c r="H19" s="61"/>
      <c r="I19" s="57"/>
      <c r="J19" s="57"/>
      <c r="K19" s="58"/>
      <c r="L19" s="57"/>
      <c r="M19" s="57"/>
      <c r="N19" s="99">
        <f t="shared" si="12"/>
        <v>0</v>
      </c>
      <c r="P19" s="57"/>
      <c r="Q19" s="59"/>
      <c r="R19" s="59"/>
      <c r="S19" s="59"/>
      <c r="T19" s="59"/>
      <c r="U19" s="99">
        <f t="shared" si="13"/>
        <v>0</v>
      </c>
      <c r="W19" s="59"/>
      <c r="X19" s="59"/>
      <c r="Y19" s="59">
        <v>1</v>
      </c>
      <c r="Z19" s="59"/>
      <c r="AA19" s="59"/>
      <c r="AB19" s="99">
        <f t="shared" si="14"/>
        <v>1</v>
      </c>
      <c r="AD19" s="59"/>
      <c r="AF19" s="107">
        <f t="shared" si="15"/>
        <v>1</v>
      </c>
      <c r="AG19" s="43"/>
      <c r="AH19" s="122"/>
      <c r="AI19" s="135">
        <v>1.9233728300000001</v>
      </c>
      <c r="AJ19" s="130">
        <f t="shared" si="4"/>
        <v>1.9233728300000001</v>
      </c>
      <c r="AL19" s="107">
        <f t="shared" si="5"/>
        <v>2.9233728299999999</v>
      </c>
    </row>
    <row r="20" spans="1:38" ht="13.5" thickBot="1" x14ac:dyDescent="0.25">
      <c r="A20" s="32" t="s">
        <v>10</v>
      </c>
      <c r="C20" s="51"/>
      <c r="D20" s="51"/>
      <c r="E20" s="60"/>
      <c r="F20" s="60"/>
      <c r="G20" s="60"/>
      <c r="H20" s="61"/>
      <c r="I20" s="57"/>
      <c r="J20" s="57"/>
      <c r="K20" s="58"/>
      <c r="L20" s="57"/>
      <c r="M20" s="57"/>
      <c r="N20" s="99">
        <f t="shared" si="12"/>
        <v>0</v>
      </c>
      <c r="P20" s="57"/>
      <c r="Q20" s="59"/>
      <c r="R20" s="59"/>
      <c r="S20" s="59">
        <f>1+1</f>
        <v>2</v>
      </c>
      <c r="T20" s="59">
        <v>1</v>
      </c>
      <c r="U20" s="99">
        <f t="shared" si="13"/>
        <v>3</v>
      </c>
      <c r="W20" s="59">
        <v>1</v>
      </c>
      <c r="X20" s="59"/>
      <c r="Y20" s="59">
        <v>2</v>
      </c>
      <c r="Z20" s="59">
        <f>2+2</f>
        <v>4</v>
      </c>
      <c r="AA20" s="59"/>
      <c r="AB20" s="99">
        <f t="shared" si="14"/>
        <v>7</v>
      </c>
      <c r="AD20" s="59">
        <v>2</v>
      </c>
      <c r="AF20" s="107">
        <f t="shared" si="15"/>
        <v>12</v>
      </c>
      <c r="AG20" s="43"/>
      <c r="AH20" s="122"/>
      <c r="AI20" s="135"/>
      <c r="AJ20" s="130">
        <f t="shared" si="4"/>
        <v>0</v>
      </c>
      <c r="AL20" s="107">
        <f t="shared" si="5"/>
        <v>12</v>
      </c>
    </row>
    <row r="21" spans="1:38" ht="13.5" thickBot="1" x14ac:dyDescent="0.25">
      <c r="A21" s="11" t="s">
        <v>11</v>
      </c>
      <c r="C21" s="51"/>
      <c r="D21" s="51"/>
      <c r="E21" s="60">
        <v>0.51075000000000004</v>
      </c>
      <c r="F21" s="60">
        <v>0.62375000000000003</v>
      </c>
      <c r="G21" s="60">
        <v>0.65</v>
      </c>
      <c r="H21" s="61">
        <v>0.83145999999999998</v>
      </c>
      <c r="I21" s="57">
        <v>7.9020000000000001</v>
      </c>
      <c r="J21" s="63">
        <v>8.3111999999999995</v>
      </c>
      <c r="K21" s="58">
        <v>3.8413200000000001</v>
      </c>
      <c r="L21" s="57">
        <v>3.54</v>
      </c>
      <c r="M21" s="57">
        <v>3.6308630000000002</v>
      </c>
      <c r="N21" s="99">
        <f t="shared" si="12"/>
        <v>29.841343000000002</v>
      </c>
      <c r="P21" s="57">
        <v>4.9130000000000003</v>
      </c>
      <c r="Q21" s="59">
        <v>3.4915850000000002</v>
      </c>
      <c r="R21" s="59">
        <v>2.9849399999999999</v>
      </c>
      <c r="S21" s="59">
        <v>0.74670000000000003</v>
      </c>
      <c r="T21" s="59">
        <v>3.2814000000000001</v>
      </c>
      <c r="U21" s="99">
        <f t="shared" si="13"/>
        <v>15.417625000000001</v>
      </c>
      <c r="W21" s="59">
        <v>3.20139</v>
      </c>
      <c r="X21" s="59">
        <v>3.53277749</v>
      </c>
      <c r="Y21" s="59">
        <v>3.4058999999999999</v>
      </c>
      <c r="Z21" s="59">
        <v>3.3682799999999999</v>
      </c>
      <c r="AA21" s="59">
        <v>3.2463000000000002</v>
      </c>
      <c r="AB21" s="99">
        <f t="shared" si="14"/>
        <v>16.75464749</v>
      </c>
      <c r="AD21" s="59">
        <v>3.5190000000000001</v>
      </c>
      <c r="AF21" s="107">
        <f t="shared" si="15"/>
        <v>65.532615489999998</v>
      </c>
      <c r="AG21" s="43"/>
      <c r="AH21" s="122"/>
      <c r="AI21" s="135">
        <v>4.7720000000000002</v>
      </c>
      <c r="AJ21" s="130">
        <f t="shared" si="4"/>
        <v>4.7720000000000002</v>
      </c>
      <c r="AL21" s="107">
        <f t="shared" si="5"/>
        <v>70.304615490000003</v>
      </c>
    </row>
    <row r="22" spans="1:38" ht="13.5" thickBot="1" x14ac:dyDescent="0.25">
      <c r="A22" s="34" t="s">
        <v>12</v>
      </c>
      <c r="C22" s="51"/>
      <c r="D22" s="51"/>
      <c r="E22" s="60"/>
      <c r="F22" s="60"/>
      <c r="G22" s="60"/>
      <c r="H22" s="61"/>
      <c r="I22" s="57"/>
      <c r="J22" s="63"/>
      <c r="K22" s="58"/>
      <c r="L22" s="57"/>
      <c r="M22" s="57"/>
      <c r="N22" s="99">
        <f t="shared" si="12"/>
        <v>0</v>
      </c>
      <c r="P22" s="57"/>
      <c r="Q22" s="59"/>
      <c r="R22" s="59"/>
      <c r="S22" s="59"/>
      <c r="T22" s="59"/>
      <c r="U22" s="99">
        <f t="shared" si="13"/>
        <v>0</v>
      </c>
      <c r="W22" s="59">
        <v>4.2531999999999996</v>
      </c>
      <c r="X22" s="59">
        <v>14.32920461</v>
      </c>
      <c r="Y22" s="59">
        <v>32.418120000000002</v>
      </c>
      <c r="Z22" s="59">
        <v>31.113600000000002</v>
      </c>
      <c r="AA22" s="59">
        <v>32.569600000000001</v>
      </c>
      <c r="AB22" s="99">
        <f t="shared" si="14"/>
        <v>114.68372461000001</v>
      </c>
      <c r="AD22" s="59"/>
      <c r="AF22" s="107">
        <f t="shared" si="15"/>
        <v>114.68372461000001</v>
      </c>
      <c r="AG22" s="43"/>
      <c r="AH22" s="122"/>
      <c r="AI22" s="135">
        <v>79.375</v>
      </c>
      <c r="AJ22" s="130">
        <f t="shared" si="4"/>
        <v>79.375</v>
      </c>
      <c r="AL22" s="107">
        <f t="shared" si="5"/>
        <v>194.05872461000001</v>
      </c>
    </row>
    <row r="23" spans="1:38" ht="13.5" thickBot="1" x14ac:dyDescent="0.25">
      <c r="A23" s="11" t="s">
        <v>13</v>
      </c>
      <c r="C23" s="51"/>
      <c r="D23" s="51"/>
      <c r="E23" s="60"/>
      <c r="F23" s="60"/>
      <c r="G23" s="60"/>
      <c r="H23" s="61"/>
      <c r="I23" s="57"/>
      <c r="J23" s="63"/>
      <c r="K23" s="58"/>
      <c r="L23" s="57"/>
      <c r="M23" s="57"/>
      <c r="N23" s="99">
        <f t="shared" si="12"/>
        <v>0</v>
      </c>
      <c r="P23" s="57">
        <v>9.3480000000000008</v>
      </c>
      <c r="Q23" s="59">
        <v>9.0673919999999999</v>
      </c>
      <c r="R23" s="59">
        <v>9.0673919999999999</v>
      </c>
      <c r="S23" s="59">
        <v>8.6844629999999992</v>
      </c>
      <c r="T23" s="59">
        <v>17.368928</v>
      </c>
      <c r="U23" s="99">
        <f t="shared" si="13"/>
        <v>53.536175</v>
      </c>
      <c r="W23" s="59">
        <v>18.759418</v>
      </c>
      <c r="X23" s="59">
        <f>0.166666+19</f>
        <v>19.166665999999999</v>
      </c>
      <c r="Y23" s="59">
        <f>0.181818+18.818181+0.178571</f>
        <v>19.178570000000001</v>
      </c>
      <c r="Z23" s="59">
        <f>18.85+0.160714</f>
        <v>19.010714</v>
      </c>
      <c r="AA23" s="59">
        <f>18.6881+35+35-30</f>
        <v>58.688099999999991</v>
      </c>
      <c r="AB23" s="99">
        <f t="shared" si="14"/>
        <v>134.80346800000001</v>
      </c>
      <c r="AD23" s="59">
        <v>0.122627</v>
      </c>
      <c r="AF23" s="107">
        <f t="shared" si="15"/>
        <v>188.46227000000002</v>
      </c>
      <c r="AG23" s="43"/>
      <c r="AH23" s="122">
        <f>15+15+30</f>
        <v>60</v>
      </c>
      <c r="AI23" s="135">
        <v>140</v>
      </c>
      <c r="AJ23" s="130">
        <f t="shared" si="4"/>
        <v>200</v>
      </c>
      <c r="AL23" s="107">
        <f t="shared" si="5"/>
        <v>388.46226999999999</v>
      </c>
    </row>
    <row r="24" spans="1:38" ht="13.5" thickBot="1" x14ac:dyDescent="0.25">
      <c r="A24" s="34" t="s">
        <v>44</v>
      </c>
      <c r="C24" s="51"/>
      <c r="D24" s="51"/>
      <c r="E24" s="60"/>
      <c r="F24" s="60"/>
      <c r="G24" s="60"/>
      <c r="H24" s="61"/>
      <c r="I24" s="57"/>
      <c r="J24" s="63"/>
      <c r="K24" s="58"/>
      <c r="L24" s="57"/>
      <c r="M24" s="57"/>
      <c r="N24" s="99">
        <f t="shared" si="12"/>
        <v>0</v>
      </c>
      <c r="P24" s="57"/>
      <c r="Q24" s="59"/>
      <c r="R24" s="59"/>
      <c r="S24" s="59"/>
      <c r="T24" s="59"/>
      <c r="U24" s="99">
        <f t="shared" si="13"/>
        <v>0</v>
      </c>
      <c r="W24" s="59"/>
      <c r="X24" s="59"/>
      <c r="Y24" s="59"/>
      <c r="Z24" s="59">
        <v>0.5</v>
      </c>
      <c r="AA24" s="59">
        <v>0.5</v>
      </c>
      <c r="AB24" s="99">
        <f t="shared" si="14"/>
        <v>1</v>
      </c>
      <c r="AD24" s="59"/>
      <c r="AF24" s="107">
        <f t="shared" si="15"/>
        <v>1</v>
      </c>
      <c r="AG24" s="43"/>
      <c r="AH24" s="122">
        <v>10</v>
      </c>
      <c r="AI24" s="135"/>
      <c r="AJ24" s="130">
        <f t="shared" si="4"/>
        <v>10</v>
      </c>
      <c r="AL24" s="107">
        <f t="shared" si="5"/>
        <v>11</v>
      </c>
    </row>
    <row r="25" spans="1:38" ht="13.5" thickBot="1" x14ac:dyDescent="0.25">
      <c r="A25" s="11" t="s">
        <v>14</v>
      </c>
      <c r="C25" s="51"/>
      <c r="D25" s="51"/>
      <c r="E25" s="60"/>
      <c r="F25" s="60"/>
      <c r="G25" s="64"/>
      <c r="H25" s="65">
        <v>0.64515</v>
      </c>
      <c r="I25" s="57">
        <v>1.318775</v>
      </c>
      <c r="J25" s="63">
        <v>0.81184000000000001</v>
      </c>
      <c r="K25" s="58">
        <v>1.4229000000000001</v>
      </c>
      <c r="L25" s="57">
        <v>1.1912400000000001</v>
      </c>
      <c r="M25" s="57">
        <v>1.1004400000000001</v>
      </c>
      <c r="N25" s="99">
        <f t="shared" si="12"/>
        <v>6.4903450000000005</v>
      </c>
      <c r="P25" s="57">
        <v>1.1859999999999999</v>
      </c>
      <c r="Q25" s="59">
        <v>1.0752701</v>
      </c>
      <c r="R25" s="59">
        <v>1.0590259</v>
      </c>
      <c r="S25" s="59">
        <v>1.1205940000000001</v>
      </c>
      <c r="T25" s="59">
        <v>0.92074765999999997</v>
      </c>
      <c r="U25" s="99">
        <f t="shared" si="13"/>
        <v>5.3616376599999995</v>
      </c>
      <c r="W25" s="59">
        <v>0.89615856999999999</v>
      </c>
      <c r="X25" s="59">
        <v>0.863788</v>
      </c>
      <c r="Y25" s="59">
        <v>0.91593999999999998</v>
      </c>
      <c r="Z25" s="59">
        <v>0.88240200000000002</v>
      </c>
      <c r="AA25" s="59">
        <v>0.94431200000000004</v>
      </c>
      <c r="AB25" s="99">
        <f t="shared" si="14"/>
        <v>4.5026005700000002</v>
      </c>
      <c r="AD25" s="59">
        <v>1.1918</v>
      </c>
      <c r="AF25" s="107">
        <f t="shared" si="15"/>
        <v>17.54638323</v>
      </c>
      <c r="AG25" s="43"/>
      <c r="AH25" s="122"/>
      <c r="AI25" s="135">
        <v>0.60714999999999997</v>
      </c>
      <c r="AJ25" s="130">
        <f t="shared" si="4"/>
        <v>0.60714999999999997</v>
      </c>
      <c r="AL25" s="107">
        <f t="shared" si="5"/>
        <v>18.153533230000001</v>
      </c>
    </row>
    <row r="26" spans="1:38" ht="13.5" thickBot="1" x14ac:dyDescent="0.25">
      <c r="A26" s="11" t="s">
        <v>49</v>
      </c>
      <c r="C26" s="51"/>
      <c r="D26" s="51"/>
      <c r="E26" s="60"/>
      <c r="F26" s="60"/>
      <c r="G26" s="64"/>
      <c r="H26" s="65"/>
      <c r="I26" s="57"/>
      <c r="J26" s="63"/>
      <c r="K26" s="58"/>
      <c r="L26" s="57"/>
      <c r="M26" s="57"/>
      <c r="N26" s="99">
        <f t="shared" si="12"/>
        <v>0</v>
      </c>
      <c r="P26" s="57"/>
      <c r="Q26" s="59"/>
      <c r="R26" s="59"/>
      <c r="S26" s="59"/>
      <c r="T26" s="59"/>
      <c r="U26" s="99">
        <f t="shared" si="13"/>
        <v>0</v>
      </c>
      <c r="W26" s="59"/>
      <c r="X26" s="59"/>
      <c r="Y26" s="59"/>
      <c r="Z26" s="59"/>
      <c r="AA26" s="59">
        <v>2.5000000000000001E-3</v>
      </c>
      <c r="AB26" s="99">
        <f t="shared" si="14"/>
        <v>2.5000000000000001E-3</v>
      </c>
      <c r="AD26" s="59"/>
      <c r="AF26" s="107">
        <f t="shared" si="15"/>
        <v>2.5000000000000001E-3</v>
      </c>
      <c r="AG26" s="43"/>
      <c r="AH26" s="122"/>
      <c r="AI26" s="135"/>
      <c r="AJ26" s="130">
        <f t="shared" si="4"/>
        <v>0</v>
      </c>
      <c r="AL26" s="107">
        <f t="shared" si="5"/>
        <v>2.5000000000000001E-3</v>
      </c>
    </row>
    <row r="27" spans="1:38" ht="13.5" thickBot="1" x14ac:dyDescent="0.25">
      <c r="A27" s="34" t="s">
        <v>15</v>
      </c>
      <c r="C27" s="51"/>
      <c r="D27" s="51"/>
      <c r="E27" s="60"/>
      <c r="F27" s="60"/>
      <c r="G27" s="64"/>
      <c r="H27" s="65"/>
      <c r="I27" s="57"/>
      <c r="J27" s="63"/>
      <c r="K27" s="58"/>
      <c r="L27" s="57"/>
      <c r="M27" s="57"/>
      <c r="N27" s="99">
        <f t="shared" si="12"/>
        <v>0</v>
      </c>
      <c r="P27" s="57"/>
      <c r="Q27" s="59"/>
      <c r="R27" s="59"/>
      <c r="S27" s="59"/>
      <c r="T27" s="59"/>
      <c r="U27" s="99">
        <f t="shared" si="13"/>
        <v>0</v>
      </c>
      <c r="W27" s="59"/>
      <c r="X27" s="40">
        <v>0.107821</v>
      </c>
      <c r="Y27" s="40">
        <v>0.18451200000000001</v>
      </c>
      <c r="Z27" s="40">
        <v>0.16945199999999999</v>
      </c>
      <c r="AA27" s="59">
        <f>0.168615+0.65088</f>
        <v>0.81949499999999997</v>
      </c>
      <c r="AB27" s="99">
        <f t="shared" si="14"/>
        <v>1.28128</v>
      </c>
      <c r="AD27" s="59">
        <v>0.11917999999999999</v>
      </c>
      <c r="AF27" s="107">
        <f t="shared" si="15"/>
        <v>1.40046</v>
      </c>
      <c r="AG27" s="43"/>
      <c r="AH27" s="123">
        <f>0.023876+0.03648861</f>
        <v>6.0364609999999999E-2</v>
      </c>
      <c r="AI27" s="135"/>
      <c r="AJ27" s="131">
        <f t="shared" si="4"/>
        <v>6.0364609999999999E-2</v>
      </c>
      <c r="AL27" s="107">
        <f t="shared" si="5"/>
        <v>1.46082461</v>
      </c>
    </row>
    <row r="28" spans="1:38" ht="13.5" thickBot="1" x14ac:dyDescent="0.25">
      <c r="A28" s="11" t="s">
        <v>16</v>
      </c>
      <c r="C28" s="51"/>
      <c r="D28" s="51">
        <v>24.060334619999999</v>
      </c>
      <c r="E28" s="51">
        <v>13.375171870000001</v>
      </c>
      <c r="F28" s="51">
        <v>16.492641949999999</v>
      </c>
      <c r="G28" s="60">
        <v>17.329866450000001</v>
      </c>
      <c r="H28" s="61">
        <v>15.85941435</v>
      </c>
      <c r="I28" s="57"/>
      <c r="J28" s="63">
        <v>33.547469</v>
      </c>
      <c r="K28" s="58">
        <v>38.885300999999998</v>
      </c>
      <c r="L28" s="57">
        <v>31.20579</v>
      </c>
      <c r="M28" s="57">
        <v>25.1113845</v>
      </c>
      <c r="N28" s="99">
        <f t="shared" si="12"/>
        <v>215.86737374000001</v>
      </c>
      <c r="P28" s="57">
        <v>26.3</v>
      </c>
      <c r="Q28" s="59">
        <v>14.2065</v>
      </c>
      <c r="R28" s="59">
        <v>34.427500000000002</v>
      </c>
      <c r="S28" s="59">
        <v>39.8048</v>
      </c>
      <c r="T28" s="59">
        <v>33.945599999999999</v>
      </c>
      <c r="U28" s="99">
        <f t="shared" si="13"/>
        <v>148.68439999999998</v>
      </c>
      <c r="W28" s="59">
        <v>38.309967</v>
      </c>
      <c r="X28" s="59">
        <f>0.68127625+1.17542486+57.47701758</f>
        <v>59.333718690000005</v>
      </c>
      <c r="Y28" s="59">
        <f>1.48437318+0.11609+1.102855+25.4222244375+18.245615625</f>
        <v>46.371158242500002</v>
      </c>
      <c r="Z28" s="59">
        <f>42.96047813+4.05511412</f>
        <v>47.015592249999997</v>
      </c>
      <c r="AA28" s="59">
        <f>28.1911025+2.8549211</f>
        <v>31.046023599999998</v>
      </c>
      <c r="AB28" s="99">
        <f t="shared" si="14"/>
        <v>222.07645978250002</v>
      </c>
      <c r="AD28" s="59"/>
      <c r="AF28" s="107">
        <f t="shared" si="15"/>
        <v>586.62823352250007</v>
      </c>
      <c r="AG28" s="43"/>
      <c r="AH28" s="122">
        <v>6.0685000000000002</v>
      </c>
      <c r="AI28" s="135">
        <v>29.655000000000001</v>
      </c>
      <c r="AJ28" s="130">
        <f t="shared" si="4"/>
        <v>35.723500000000001</v>
      </c>
      <c r="AL28" s="107">
        <f t="shared" si="5"/>
        <v>622.35173352250013</v>
      </c>
    </row>
    <row r="29" spans="1:38" ht="13.5" thickBot="1" x14ac:dyDescent="0.25">
      <c r="A29" s="34" t="s">
        <v>68</v>
      </c>
      <c r="B29" s="39"/>
      <c r="C29" s="51"/>
      <c r="D29" s="60"/>
      <c r="E29" s="60"/>
      <c r="F29" s="60"/>
      <c r="G29" s="60"/>
      <c r="H29" s="61"/>
      <c r="I29" s="57"/>
      <c r="J29" s="66"/>
      <c r="K29" s="58"/>
      <c r="L29" s="57"/>
      <c r="M29" s="57"/>
      <c r="N29" s="99">
        <f t="shared" ref="N29" si="16">SUM(C29:M29)</f>
        <v>0</v>
      </c>
      <c r="O29" s="39"/>
      <c r="P29" s="57"/>
      <c r="Q29" s="59"/>
      <c r="R29" s="59"/>
      <c r="S29" s="59"/>
      <c r="T29" s="59"/>
      <c r="U29" s="99">
        <f t="shared" ref="U29" si="17">SUM(P29:T29)</f>
        <v>0</v>
      </c>
      <c r="V29" s="39"/>
      <c r="W29" s="59"/>
      <c r="X29" s="59"/>
      <c r="Y29" s="59"/>
      <c r="Z29" s="59"/>
      <c r="AA29" s="59"/>
      <c r="AB29" s="99">
        <f t="shared" ref="AB29" si="18">SUM(W29:AA29)</f>
        <v>0</v>
      </c>
      <c r="AC29" s="39"/>
      <c r="AD29" s="59"/>
      <c r="AF29" s="107">
        <f t="shared" si="15"/>
        <v>0</v>
      </c>
      <c r="AG29" s="43"/>
      <c r="AH29" s="122">
        <v>4.9181999999999997</v>
      </c>
      <c r="AI29" s="135">
        <v>7.3170000000000002</v>
      </c>
      <c r="AJ29" s="130">
        <f t="shared" si="4"/>
        <v>12.235199999999999</v>
      </c>
      <c r="AL29" s="107">
        <f t="shared" si="5"/>
        <v>12.235199999999999</v>
      </c>
    </row>
    <row r="30" spans="1:38" ht="13.5" thickBot="1" x14ac:dyDescent="0.25">
      <c r="A30" s="34" t="s">
        <v>78</v>
      </c>
      <c r="B30" s="39"/>
      <c r="C30" s="51"/>
      <c r="D30" s="60"/>
      <c r="E30" s="51"/>
      <c r="F30" s="51"/>
      <c r="G30" s="60"/>
      <c r="H30" s="56"/>
      <c r="I30" s="57"/>
      <c r="J30" s="57"/>
      <c r="K30" s="58"/>
      <c r="L30" s="57"/>
      <c r="M30" s="57"/>
      <c r="N30" s="99">
        <f t="shared" ref="N30" si="19">SUM(C30:M30)</f>
        <v>0</v>
      </c>
      <c r="O30" s="39"/>
      <c r="P30" s="57"/>
      <c r="Q30" s="59"/>
      <c r="R30" s="59"/>
      <c r="S30" s="59"/>
      <c r="T30" s="59"/>
      <c r="U30" s="99">
        <f t="shared" ref="U30" si="20">SUM(P30:T30)</f>
        <v>0</v>
      </c>
      <c r="V30" s="39"/>
      <c r="W30" s="59"/>
      <c r="X30" s="59"/>
      <c r="Y30" s="59"/>
      <c r="Z30" s="59"/>
      <c r="AA30" s="59"/>
      <c r="AB30" s="99">
        <f t="shared" ref="AB30" si="21">SUM(W30:AA30)</f>
        <v>0</v>
      </c>
      <c r="AC30" s="39"/>
      <c r="AD30" s="59">
        <v>1</v>
      </c>
      <c r="AF30" s="107">
        <f t="shared" si="15"/>
        <v>1</v>
      </c>
      <c r="AG30" s="43"/>
      <c r="AH30" s="122"/>
      <c r="AI30" s="135"/>
      <c r="AJ30" s="130">
        <f t="shared" ref="AJ30" si="22">SUM(AH30:AI30)</f>
        <v>0</v>
      </c>
      <c r="AL30" s="107">
        <f t="shared" ref="AL30" si="23">SUM(AF30,AJ30)</f>
        <v>1</v>
      </c>
    </row>
    <row r="31" spans="1:38" ht="13.5" thickBot="1" x14ac:dyDescent="0.25">
      <c r="A31" s="11" t="s">
        <v>17</v>
      </c>
      <c r="C31" s="51"/>
      <c r="D31" s="60">
        <v>17.894689750000001</v>
      </c>
      <c r="E31" s="60">
        <v>21.325656089999999</v>
      </c>
      <c r="F31" s="60">
        <v>21.791086740000001</v>
      </c>
      <c r="G31" s="60">
        <v>40.92459264</v>
      </c>
      <c r="H31" s="61">
        <v>39.53459411</v>
      </c>
      <c r="I31" s="57">
        <v>67.379313700000012</v>
      </c>
      <c r="J31" s="66">
        <v>86.156761000000003</v>
      </c>
      <c r="K31" s="58">
        <v>65.449483259999994</v>
      </c>
      <c r="L31" s="57">
        <v>82.800324709999998</v>
      </c>
      <c r="M31" s="57">
        <v>76.483608000000004</v>
      </c>
      <c r="N31" s="99">
        <f t="shared" si="12"/>
        <v>519.74010999999996</v>
      </c>
      <c r="P31" s="57">
        <v>79.2</v>
      </c>
      <c r="Q31" s="59">
        <v>106.8762334</v>
      </c>
      <c r="R31" s="59">
        <v>126.86237634</v>
      </c>
      <c r="S31" s="59">
        <f>119.73607283+27.869</f>
        <v>147.60507282999998</v>
      </c>
      <c r="T31" s="59">
        <v>157.46568500000001</v>
      </c>
      <c r="U31" s="99">
        <f t="shared" si="13"/>
        <v>618.00936756999999</v>
      </c>
      <c r="W31" s="59">
        <v>139.66753800000001</v>
      </c>
      <c r="X31" s="59">
        <f>133.06601234+26.36814516</f>
        <v>159.4341575</v>
      </c>
      <c r="Y31" s="59">
        <f>137.30391502+7.37424108</f>
        <v>144.6781561</v>
      </c>
      <c r="Z31" s="59">
        <f>151.0231769+10.41453192</f>
        <v>161.43770882000001</v>
      </c>
      <c r="AA31" s="59">
        <v>164.81642147421601</v>
      </c>
      <c r="AB31" s="99">
        <f t="shared" si="14"/>
        <v>770.03398189421603</v>
      </c>
      <c r="AD31" s="59"/>
      <c r="AF31" s="107">
        <f t="shared" si="15"/>
        <v>1907.7834594642161</v>
      </c>
      <c r="AG31" s="43"/>
      <c r="AH31" s="122">
        <v>18.685122629999999</v>
      </c>
      <c r="AI31" s="135">
        <v>6.25</v>
      </c>
      <c r="AJ31" s="130">
        <f t="shared" si="4"/>
        <v>24.935122629999999</v>
      </c>
      <c r="AL31" s="107">
        <f t="shared" si="5"/>
        <v>1932.7185820942161</v>
      </c>
    </row>
    <row r="32" spans="1:38" ht="13.5" thickBot="1" x14ac:dyDescent="0.25">
      <c r="A32" s="34" t="s">
        <v>18</v>
      </c>
      <c r="C32" s="51"/>
      <c r="D32" s="60"/>
      <c r="E32" s="60"/>
      <c r="F32" s="60"/>
      <c r="G32" s="60"/>
      <c r="H32" s="61"/>
      <c r="I32" s="57"/>
      <c r="J32" s="66"/>
      <c r="K32" s="58"/>
      <c r="L32" s="57"/>
      <c r="M32" s="57"/>
      <c r="N32" s="99">
        <f t="shared" si="12"/>
        <v>0</v>
      </c>
      <c r="P32" s="57"/>
      <c r="Q32" s="59"/>
      <c r="R32" s="59"/>
      <c r="S32" s="59"/>
      <c r="T32" s="59">
        <v>0.6</v>
      </c>
      <c r="U32" s="99">
        <f t="shared" si="13"/>
        <v>0.6</v>
      </c>
      <c r="W32" s="59"/>
      <c r="X32" s="59">
        <v>0.6</v>
      </c>
      <c r="Y32" s="59">
        <v>0.6</v>
      </c>
      <c r="Z32" s="59">
        <v>0.6</v>
      </c>
      <c r="AA32" s="59">
        <v>0.6</v>
      </c>
      <c r="AB32" s="99">
        <f t="shared" si="14"/>
        <v>2.4</v>
      </c>
      <c r="AD32" s="59"/>
      <c r="AF32" s="107">
        <f t="shared" si="15"/>
        <v>3</v>
      </c>
      <c r="AG32" s="43"/>
      <c r="AH32" s="122"/>
      <c r="AI32" s="135"/>
      <c r="AJ32" s="130">
        <f t="shared" si="4"/>
        <v>0</v>
      </c>
      <c r="AL32" s="107">
        <f t="shared" si="5"/>
        <v>3</v>
      </c>
    </row>
    <row r="33" spans="1:40" ht="13.5" thickBot="1" x14ac:dyDescent="0.25">
      <c r="A33" s="34" t="s">
        <v>81</v>
      </c>
      <c r="B33" s="39"/>
      <c r="C33" s="51"/>
      <c r="D33" s="60"/>
      <c r="E33" s="51"/>
      <c r="F33" s="51"/>
      <c r="G33" s="60"/>
      <c r="H33" s="56"/>
      <c r="I33" s="57"/>
      <c r="J33" s="57"/>
      <c r="K33" s="58"/>
      <c r="L33" s="57"/>
      <c r="M33" s="57"/>
      <c r="N33" s="99">
        <f t="shared" si="12"/>
        <v>0</v>
      </c>
      <c r="O33" s="39"/>
      <c r="P33" s="57"/>
      <c r="Q33" s="59"/>
      <c r="R33" s="59"/>
      <c r="S33" s="59"/>
      <c r="T33" s="59"/>
      <c r="U33" s="99">
        <f t="shared" si="13"/>
        <v>0</v>
      </c>
      <c r="V33" s="39"/>
      <c r="W33" s="59"/>
      <c r="X33" s="59"/>
      <c r="Y33" s="59"/>
      <c r="Z33" s="59"/>
      <c r="AA33" s="59"/>
      <c r="AB33" s="99">
        <f t="shared" si="14"/>
        <v>0</v>
      </c>
      <c r="AC33" s="39"/>
      <c r="AD33" s="59"/>
      <c r="AF33" s="107">
        <f t="shared" si="15"/>
        <v>0</v>
      </c>
      <c r="AG33" s="43"/>
      <c r="AH33" s="122"/>
      <c r="AI33" s="135">
        <v>0.1</v>
      </c>
      <c r="AJ33" s="130">
        <f t="shared" ref="AJ33" si="24">SUM(AH33:AI33)</f>
        <v>0.1</v>
      </c>
      <c r="AL33" s="107">
        <f t="shared" ref="AL33" si="25">SUM(AF33,AJ33)</f>
        <v>0.1</v>
      </c>
    </row>
    <row r="34" spans="1:40" ht="13.5" thickBot="1" x14ac:dyDescent="0.25">
      <c r="A34" s="34" t="s">
        <v>19</v>
      </c>
      <c r="C34" s="51"/>
      <c r="D34" s="60"/>
      <c r="E34" s="60"/>
      <c r="F34" s="60"/>
      <c r="G34" s="60"/>
      <c r="H34" s="61"/>
      <c r="I34" s="57"/>
      <c r="J34" s="66"/>
      <c r="K34" s="58"/>
      <c r="L34" s="57"/>
      <c r="M34" s="57"/>
      <c r="N34" s="99">
        <f t="shared" si="12"/>
        <v>0</v>
      </c>
      <c r="P34" s="57"/>
      <c r="Q34" s="59"/>
      <c r="R34" s="59"/>
      <c r="S34" s="59"/>
      <c r="T34" s="59"/>
      <c r="U34" s="99">
        <f t="shared" si="13"/>
        <v>0</v>
      </c>
      <c r="W34" s="59">
        <v>2</v>
      </c>
      <c r="X34" s="59">
        <v>2</v>
      </c>
      <c r="Y34" s="59"/>
      <c r="Z34" s="59"/>
      <c r="AA34" s="59">
        <v>6</v>
      </c>
      <c r="AB34" s="99">
        <f t="shared" si="14"/>
        <v>10</v>
      </c>
      <c r="AD34" s="59"/>
      <c r="AF34" s="107">
        <f t="shared" si="15"/>
        <v>10</v>
      </c>
      <c r="AG34" s="43"/>
      <c r="AH34" s="122"/>
      <c r="AI34" s="135">
        <v>5</v>
      </c>
      <c r="AJ34" s="130">
        <f t="shared" si="4"/>
        <v>5</v>
      </c>
      <c r="AL34" s="107">
        <f t="shared" si="5"/>
        <v>15</v>
      </c>
    </row>
    <row r="35" spans="1:40" ht="13.5" thickBot="1" x14ac:dyDescent="0.25">
      <c r="A35" s="14" t="s">
        <v>20</v>
      </c>
      <c r="C35" s="51"/>
      <c r="D35" s="60"/>
      <c r="E35" s="60"/>
      <c r="F35" s="60"/>
      <c r="G35" s="60"/>
      <c r="H35" s="61"/>
      <c r="I35" s="57"/>
      <c r="J35" s="57"/>
      <c r="K35" s="58"/>
      <c r="L35" s="57"/>
      <c r="M35" s="12">
        <v>0.4</v>
      </c>
      <c r="N35" s="99">
        <f t="shared" si="12"/>
        <v>0.4</v>
      </c>
      <c r="P35" s="12">
        <v>0.3</v>
      </c>
      <c r="Q35" s="40">
        <v>0.3</v>
      </c>
      <c r="R35" s="59">
        <v>1</v>
      </c>
      <c r="S35" s="59">
        <v>1</v>
      </c>
      <c r="T35" s="59">
        <v>4</v>
      </c>
      <c r="U35" s="99">
        <f t="shared" si="13"/>
        <v>6.6</v>
      </c>
      <c r="W35" s="59">
        <v>4</v>
      </c>
      <c r="X35" s="59">
        <v>4</v>
      </c>
      <c r="Y35" s="59">
        <v>4</v>
      </c>
      <c r="Z35" s="59">
        <v>4.7372954399999996</v>
      </c>
      <c r="AA35" s="59">
        <v>5.4808400900000001</v>
      </c>
      <c r="AB35" s="99">
        <f t="shared" si="14"/>
        <v>22.218135530000001</v>
      </c>
      <c r="AD35" s="59"/>
      <c r="AF35" s="107">
        <f t="shared" si="15"/>
        <v>29.218135529999998</v>
      </c>
      <c r="AG35" s="43"/>
      <c r="AH35" s="122"/>
      <c r="AI35" s="135">
        <v>10</v>
      </c>
      <c r="AJ35" s="130">
        <f t="shared" si="4"/>
        <v>10</v>
      </c>
      <c r="AL35" s="107">
        <f t="shared" si="5"/>
        <v>39.218135529999998</v>
      </c>
    </row>
    <row r="36" spans="1:40" ht="13.5" thickBot="1" x14ac:dyDescent="0.25">
      <c r="A36" s="32" t="s">
        <v>21</v>
      </c>
      <c r="C36" s="51"/>
      <c r="D36" s="60"/>
      <c r="E36" s="60"/>
      <c r="F36" s="60"/>
      <c r="G36" s="60"/>
      <c r="H36" s="61"/>
      <c r="I36" s="57"/>
      <c r="J36" s="57"/>
      <c r="K36" s="58"/>
      <c r="L36" s="57"/>
      <c r="M36" s="57"/>
      <c r="N36" s="99">
        <f t="shared" si="12"/>
        <v>0</v>
      </c>
      <c r="P36" s="57"/>
      <c r="Q36" s="59"/>
      <c r="R36" s="59"/>
      <c r="S36" s="59"/>
      <c r="T36" s="59"/>
      <c r="U36" s="99">
        <f t="shared" si="13"/>
        <v>0</v>
      </c>
      <c r="W36" s="59">
        <v>2.5</v>
      </c>
      <c r="X36" s="59">
        <f>2.5+2.5</f>
        <v>5</v>
      </c>
      <c r="Y36" s="59">
        <f>2.5+2.5</f>
        <v>5</v>
      </c>
      <c r="Z36" s="59">
        <f>2.5+2.5</f>
        <v>5</v>
      </c>
      <c r="AA36" s="59">
        <f>2.5+2.5</f>
        <v>5</v>
      </c>
      <c r="AB36" s="99">
        <f t="shared" si="14"/>
        <v>22.5</v>
      </c>
      <c r="AD36" s="59"/>
      <c r="AF36" s="107">
        <f t="shared" si="15"/>
        <v>22.5</v>
      </c>
      <c r="AG36" s="43"/>
      <c r="AH36" s="122"/>
      <c r="AI36" s="135">
        <v>30</v>
      </c>
      <c r="AJ36" s="130">
        <f t="shared" si="4"/>
        <v>30</v>
      </c>
      <c r="AL36" s="107">
        <f t="shared" si="5"/>
        <v>52.5</v>
      </c>
    </row>
    <row r="37" spans="1:40" ht="13.5" thickBot="1" x14ac:dyDescent="0.25">
      <c r="A37" s="34" t="s">
        <v>83</v>
      </c>
      <c r="B37" s="39"/>
      <c r="C37" s="51"/>
      <c r="D37" s="60"/>
      <c r="E37" s="51"/>
      <c r="F37" s="51"/>
      <c r="G37" s="60"/>
      <c r="H37" s="56"/>
      <c r="I37" s="57"/>
      <c r="J37" s="57"/>
      <c r="K37" s="58"/>
      <c r="L37" s="57"/>
      <c r="M37" s="57"/>
      <c r="N37" s="99">
        <f t="shared" si="12"/>
        <v>0</v>
      </c>
      <c r="O37" s="39"/>
      <c r="P37" s="57"/>
      <c r="Q37" s="59"/>
      <c r="R37" s="59"/>
      <c r="S37" s="59"/>
      <c r="T37" s="59"/>
      <c r="U37" s="99">
        <f t="shared" si="13"/>
        <v>0</v>
      </c>
      <c r="V37" s="39"/>
      <c r="W37" s="59"/>
      <c r="X37" s="59"/>
      <c r="Y37" s="59"/>
      <c r="Z37" s="59"/>
      <c r="AA37" s="59"/>
      <c r="AB37" s="99">
        <f t="shared" si="14"/>
        <v>0</v>
      </c>
      <c r="AC37" s="39"/>
      <c r="AD37" s="59"/>
      <c r="AF37" s="107">
        <f t="shared" si="15"/>
        <v>0</v>
      </c>
      <c r="AG37" s="43"/>
      <c r="AH37" s="122"/>
      <c r="AI37" s="135">
        <v>5</v>
      </c>
      <c r="AJ37" s="130">
        <f t="shared" ref="AJ37" si="26">SUM(AH37:AI37)</f>
        <v>5</v>
      </c>
      <c r="AL37" s="107">
        <f t="shared" ref="AL37" si="27">SUM(AF37,AJ37)</f>
        <v>5</v>
      </c>
    </row>
    <row r="38" spans="1:40" ht="13.5" thickBot="1" x14ac:dyDescent="0.25">
      <c r="A38" s="11" t="s">
        <v>22</v>
      </c>
      <c r="C38" s="51"/>
      <c r="D38" s="51"/>
      <c r="E38" s="51"/>
      <c r="F38" s="51"/>
      <c r="G38" s="51"/>
      <c r="H38" s="61"/>
      <c r="I38" s="51"/>
      <c r="J38" s="51"/>
      <c r="K38" s="58">
        <v>40.536200000000001</v>
      </c>
      <c r="L38" s="57"/>
      <c r="M38" s="57"/>
      <c r="N38" s="99">
        <f t="shared" si="12"/>
        <v>40.536200000000001</v>
      </c>
      <c r="P38" s="57">
        <v>2.6659999999999999</v>
      </c>
      <c r="Q38" s="59"/>
      <c r="R38" s="59"/>
      <c r="S38" s="59"/>
      <c r="T38" s="59"/>
      <c r="U38" s="99">
        <f t="shared" si="13"/>
        <v>2.6659999999999999</v>
      </c>
      <c r="W38" s="59"/>
      <c r="X38" s="59"/>
      <c r="Y38" s="59"/>
      <c r="Z38" s="59"/>
      <c r="AA38" s="59"/>
      <c r="AB38" s="99">
        <f t="shared" si="14"/>
        <v>0</v>
      </c>
      <c r="AD38" s="59"/>
      <c r="AF38" s="107">
        <f t="shared" si="15"/>
        <v>43.202199999999998</v>
      </c>
      <c r="AG38" s="43"/>
      <c r="AH38" s="122"/>
      <c r="AI38" s="135"/>
      <c r="AJ38" s="130">
        <f t="shared" si="4"/>
        <v>0</v>
      </c>
      <c r="AL38" s="107">
        <f t="shared" si="5"/>
        <v>43.202199999999998</v>
      </c>
    </row>
    <row r="39" spans="1:40" ht="13.5" thickBot="1" x14ac:dyDescent="0.25">
      <c r="A39" s="11" t="s">
        <v>23</v>
      </c>
      <c r="C39" s="51"/>
      <c r="D39" s="60">
        <v>1.8921325899999999</v>
      </c>
      <c r="E39" s="60">
        <v>1.1147999799999999</v>
      </c>
      <c r="F39" s="60">
        <v>2.38518169</v>
      </c>
      <c r="G39" s="60">
        <v>4.9314298799999996</v>
      </c>
      <c r="H39" s="61">
        <v>12.66340061</v>
      </c>
      <c r="I39" s="57">
        <v>14.593975029999999</v>
      </c>
      <c r="J39" s="57">
        <v>15.514976000000001</v>
      </c>
      <c r="K39" s="58">
        <v>19.151976000000001</v>
      </c>
      <c r="L39" s="57">
        <v>13.80099952</v>
      </c>
      <c r="M39" s="57">
        <v>36.487497500000003</v>
      </c>
      <c r="N39" s="99">
        <f t="shared" si="12"/>
        <v>122.53636880000002</v>
      </c>
      <c r="P39" s="57">
        <v>92.7</v>
      </c>
      <c r="Q39" s="59"/>
      <c r="R39" s="59">
        <v>70.900080489999993</v>
      </c>
      <c r="S39" s="59">
        <v>49.84</v>
      </c>
      <c r="T39" s="59">
        <v>41.475000000000001</v>
      </c>
      <c r="U39" s="99">
        <f t="shared" si="13"/>
        <v>254.91508048999998</v>
      </c>
      <c r="W39" s="59">
        <v>36.391199999999998</v>
      </c>
      <c r="X39" s="59">
        <v>33.504578960000003</v>
      </c>
      <c r="Y39" s="59">
        <v>42.436950889999999</v>
      </c>
      <c r="Z39" s="59">
        <f>19.58512008+16.14</f>
        <v>35.725120079999996</v>
      </c>
      <c r="AA39" s="59">
        <v>40.858379999999997</v>
      </c>
      <c r="AB39" s="99">
        <f t="shared" si="14"/>
        <v>188.91622992999999</v>
      </c>
      <c r="AD39" s="59">
        <v>39.449023510000004</v>
      </c>
      <c r="AF39" s="107">
        <f t="shared" si="15"/>
        <v>605.81670272999997</v>
      </c>
      <c r="AG39" s="43"/>
      <c r="AH39" s="122">
        <v>11.58512058</v>
      </c>
      <c r="AI39" s="135"/>
      <c r="AJ39" s="130">
        <f t="shared" si="4"/>
        <v>11.58512058</v>
      </c>
      <c r="AL39" s="107">
        <f t="shared" si="5"/>
        <v>617.40182330999994</v>
      </c>
    </row>
    <row r="40" spans="1:40" s="25" customFormat="1" ht="13.5" thickBot="1" x14ac:dyDescent="0.25">
      <c r="A40" s="32" t="s">
        <v>24</v>
      </c>
      <c r="B40"/>
      <c r="C40" s="57"/>
      <c r="D40" s="64"/>
      <c r="E40" s="64"/>
      <c r="F40" s="64"/>
      <c r="G40" s="64"/>
      <c r="H40" s="67"/>
      <c r="I40" s="57"/>
      <c r="J40" s="57"/>
      <c r="K40" s="58"/>
      <c r="L40" s="57"/>
      <c r="M40" s="57"/>
      <c r="N40" s="99">
        <f t="shared" si="12"/>
        <v>0</v>
      </c>
      <c r="O40"/>
      <c r="P40" s="57"/>
      <c r="Q40" s="59"/>
      <c r="R40" s="59"/>
      <c r="S40" s="59"/>
      <c r="T40" s="59"/>
      <c r="U40" s="99">
        <f t="shared" si="13"/>
        <v>0</v>
      </c>
      <c r="V40"/>
      <c r="W40" s="59">
        <v>1.5797791999999999</v>
      </c>
      <c r="X40" s="59"/>
      <c r="Y40" s="59"/>
      <c r="Z40" s="59"/>
      <c r="AA40" s="59">
        <f>11.2905+0.56177087</f>
        <v>11.85227087</v>
      </c>
      <c r="AB40" s="99">
        <f t="shared" si="14"/>
        <v>13.432050069999999</v>
      </c>
      <c r="AC40"/>
      <c r="AD40" s="59">
        <v>0.43321999999999999</v>
      </c>
      <c r="AE40" s="39"/>
      <c r="AF40" s="107">
        <f t="shared" si="15"/>
        <v>13.865270069999999</v>
      </c>
      <c r="AG40" s="38"/>
      <c r="AH40" s="122">
        <v>22.477137939999999</v>
      </c>
      <c r="AI40" s="135"/>
      <c r="AJ40" s="130">
        <f t="shared" si="4"/>
        <v>22.477137939999999</v>
      </c>
      <c r="AL40" s="107">
        <f t="shared" si="5"/>
        <v>36.34240801</v>
      </c>
    </row>
    <row r="41" spans="1:40" ht="13.5" thickBot="1" x14ac:dyDescent="0.25">
      <c r="A41" s="11" t="s">
        <v>25</v>
      </c>
      <c r="C41" s="51">
        <v>4.4634</v>
      </c>
      <c r="D41" s="51"/>
      <c r="E41" s="60">
        <v>15.048249999999999</v>
      </c>
      <c r="F41" s="51">
        <v>5.60595</v>
      </c>
      <c r="G41" s="60">
        <v>18.491534999999999</v>
      </c>
      <c r="H41" s="61">
        <v>6.6251490000000004</v>
      </c>
      <c r="I41" s="57">
        <v>23.214072000000002</v>
      </c>
      <c r="J41" s="63">
        <v>48.113951999999998</v>
      </c>
      <c r="K41" s="58"/>
      <c r="L41" s="57"/>
      <c r="M41" s="68">
        <v>15.883044</v>
      </c>
      <c r="N41" s="100">
        <f t="shared" si="12"/>
        <v>137.44535199999999</v>
      </c>
      <c r="P41" s="68">
        <v>85.1</v>
      </c>
      <c r="Q41" s="69">
        <v>206.88</v>
      </c>
      <c r="R41" s="69">
        <v>447.88005122999999</v>
      </c>
      <c r="S41" s="69">
        <v>302.55504000000002</v>
      </c>
      <c r="T41" s="69">
        <f>418.55298+23.91142691</f>
        <v>442.46440690999998</v>
      </c>
      <c r="U41" s="100">
        <f t="shared" si="13"/>
        <v>1484.8794981399999</v>
      </c>
      <c r="W41" s="69">
        <v>304.83199999999999</v>
      </c>
      <c r="X41" s="69">
        <v>282.065</v>
      </c>
      <c r="Y41" s="69">
        <f>237.859968+15.02140486</f>
        <v>252.88137286</v>
      </c>
      <c r="Z41" s="69">
        <v>267.42500000000001</v>
      </c>
      <c r="AA41" s="59">
        <v>270.52</v>
      </c>
      <c r="AB41" s="100">
        <f t="shared" si="14"/>
        <v>1377.7233728599999</v>
      </c>
      <c r="AD41" s="59"/>
      <c r="AF41" s="107">
        <f t="shared" si="15"/>
        <v>3000.0482230000002</v>
      </c>
      <c r="AG41" s="43"/>
      <c r="AH41" s="122"/>
      <c r="AI41" s="135">
        <v>60.625000000000057</v>
      </c>
      <c r="AJ41" s="130">
        <f t="shared" si="4"/>
        <v>60.625000000000057</v>
      </c>
      <c r="AL41" s="107">
        <f t="shared" si="5"/>
        <v>3060.6732230000002</v>
      </c>
    </row>
    <row r="42" spans="1:40" ht="13.5" thickBot="1" x14ac:dyDescent="0.25">
      <c r="A42" s="15" t="s">
        <v>26</v>
      </c>
      <c r="C42" s="70"/>
      <c r="D42" s="71">
        <v>48.091999999999999</v>
      </c>
      <c r="E42" s="71">
        <v>53</v>
      </c>
      <c r="F42" s="71">
        <v>58</v>
      </c>
      <c r="G42" s="71">
        <v>59.64</v>
      </c>
      <c r="H42" s="72">
        <v>64.48</v>
      </c>
      <c r="I42" s="73">
        <v>69.3</v>
      </c>
      <c r="J42" s="74">
        <v>69.3</v>
      </c>
      <c r="K42" s="75">
        <v>71.912999999999997</v>
      </c>
      <c r="L42" s="73">
        <v>75</v>
      </c>
      <c r="M42" s="73">
        <v>78</v>
      </c>
      <c r="N42" s="101">
        <f t="shared" si="12"/>
        <v>646.72500000000002</v>
      </c>
      <c r="P42" s="73">
        <v>89.8</v>
      </c>
      <c r="Q42" s="76">
        <v>130</v>
      </c>
      <c r="R42" s="76">
        <v>137.978655</v>
      </c>
      <c r="S42" s="76">
        <v>175</v>
      </c>
      <c r="T42" s="76">
        <v>200</v>
      </c>
      <c r="U42" s="101">
        <f t="shared" si="13"/>
        <v>732.77865500000007</v>
      </c>
      <c r="W42" s="76">
        <v>235</v>
      </c>
      <c r="X42" s="76">
        <v>275</v>
      </c>
      <c r="Y42" s="76">
        <v>290</v>
      </c>
      <c r="Z42" s="76">
        <v>290</v>
      </c>
      <c r="AA42" s="76">
        <v>290</v>
      </c>
      <c r="AB42" s="101">
        <f t="shared" si="14"/>
        <v>1380</v>
      </c>
      <c r="AD42" s="76"/>
      <c r="AF42" s="108">
        <f t="shared" si="15"/>
        <v>2759.503655</v>
      </c>
      <c r="AG42" s="43"/>
      <c r="AH42" s="125"/>
      <c r="AI42" s="136">
        <v>2000</v>
      </c>
      <c r="AJ42" s="132">
        <f t="shared" si="4"/>
        <v>2000</v>
      </c>
      <c r="AL42" s="108">
        <f t="shared" si="5"/>
        <v>4759.5036550000004</v>
      </c>
    </row>
    <row r="43" spans="1:40" ht="13.5" thickBot="1" x14ac:dyDescent="0.25">
      <c r="A43" s="16" t="s">
        <v>27</v>
      </c>
      <c r="C43" s="77">
        <f t="shared" ref="C43:AF43" si="28">SUM(C7:C42)</f>
        <v>4.4634</v>
      </c>
      <c r="D43" s="77">
        <f t="shared" si="28"/>
        <v>93.086564390000007</v>
      </c>
      <c r="E43" s="77">
        <f t="shared" si="28"/>
        <v>106.25498396</v>
      </c>
      <c r="F43" s="77">
        <f t="shared" si="28"/>
        <v>110.91403173</v>
      </c>
      <c r="G43" s="77">
        <f t="shared" si="28"/>
        <v>160.39815135999999</v>
      </c>
      <c r="H43" s="77">
        <f t="shared" si="28"/>
        <v>274.92391606000001</v>
      </c>
      <c r="I43" s="77">
        <f t="shared" si="28"/>
        <v>216.20010949000005</v>
      </c>
      <c r="J43" s="77">
        <f t="shared" si="28"/>
        <v>282.29137800000001</v>
      </c>
      <c r="K43" s="77">
        <f t="shared" si="28"/>
        <v>269.32929425999998</v>
      </c>
      <c r="L43" s="77">
        <f t="shared" si="28"/>
        <v>255.98825982</v>
      </c>
      <c r="M43" s="77">
        <f t="shared" si="28"/>
        <v>252.64002400000001</v>
      </c>
      <c r="N43" s="117">
        <f t="shared" si="28"/>
        <v>2026.49011307</v>
      </c>
      <c r="P43" s="77">
        <f t="shared" si="28"/>
        <v>512.89099999999996</v>
      </c>
      <c r="Q43" s="77">
        <f t="shared" si="28"/>
        <v>615.20465434000005</v>
      </c>
      <c r="R43" s="77">
        <f t="shared" si="28"/>
        <v>994.33653315000004</v>
      </c>
      <c r="S43" s="77">
        <f t="shared" si="28"/>
        <v>920.80762834000006</v>
      </c>
      <c r="T43" s="77">
        <f t="shared" si="28"/>
        <v>1001.98051419</v>
      </c>
      <c r="U43" s="117">
        <f t="shared" si="28"/>
        <v>4045.2203300199999</v>
      </c>
      <c r="W43" s="77">
        <f t="shared" si="28"/>
        <v>1173.2561867700001</v>
      </c>
      <c r="X43" s="77">
        <f t="shared" si="28"/>
        <v>1125.5441614700001</v>
      </c>
      <c r="Y43" s="77">
        <f t="shared" si="28"/>
        <v>1137.9701698325</v>
      </c>
      <c r="Z43" s="77">
        <f t="shared" si="28"/>
        <v>1280.0316882200002</v>
      </c>
      <c r="AA43" s="77">
        <f t="shared" si="28"/>
        <v>1150.7076543858161</v>
      </c>
      <c r="AB43" s="117">
        <f t="shared" si="28"/>
        <v>5867.5098606783158</v>
      </c>
      <c r="AD43" s="77">
        <f t="shared" ref="AD43" si="29">SUM(AD7:AD42)</f>
        <v>78.667600510000014</v>
      </c>
      <c r="AF43" s="117">
        <f t="shared" si="28"/>
        <v>12017.887904278316</v>
      </c>
      <c r="AG43" s="13"/>
      <c r="AH43" s="124">
        <f>SUM(AH7:AH42)</f>
        <v>284.03593762999998</v>
      </c>
      <c r="AI43" s="126">
        <f>SUM(AI7:AI42)</f>
        <v>2502.5630363</v>
      </c>
      <c r="AJ43" s="126">
        <f>SUM(AJ7:AJ42)</f>
        <v>2786.5989739300003</v>
      </c>
      <c r="AL43" s="117">
        <f>SUM(AL7:AL42)</f>
        <v>14804.486878208316</v>
      </c>
    </row>
    <row r="44" spans="1:40" s="41" customFormat="1" ht="13.5" thickBot="1" x14ac:dyDescent="0.25">
      <c r="A44" s="17"/>
      <c r="B4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/>
      <c r="P44" s="18"/>
      <c r="Q44" s="18"/>
      <c r="R44" s="18"/>
      <c r="S44" s="18"/>
      <c r="T44" s="18"/>
      <c r="U44" s="18"/>
      <c r="V44"/>
      <c r="W44" s="78"/>
      <c r="X44" s="78"/>
      <c r="Y44" s="78"/>
      <c r="Z44" s="78"/>
      <c r="AA44" s="78"/>
      <c r="AB44" s="18"/>
      <c r="AC44"/>
      <c r="AD44" s="78"/>
      <c r="AE44" s="39"/>
      <c r="AF44" s="18"/>
      <c r="AG44" s="13"/>
      <c r="AH44" s="18"/>
      <c r="AI44" s="18"/>
      <c r="AJ44" s="18"/>
      <c r="AL44" s="18"/>
    </row>
    <row r="45" spans="1:40" s="41" customFormat="1" ht="13.5" thickBot="1" x14ac:dyDescent="0.25">
      <c r="A45" s="47" t="s">
        <v>43</v>
      </c>
      <c r="B45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102">
        <f t="shared" ref="N45:N70" si="30">SUM(C45:M45)</f>
        <v>0</v>
      </c>
      <c r="O45"/>
      <c r="P45" s="80"/>
      <c r="Q45" s="80"/>
      <c r="R45" s="80"/>
      <c r="S45" s="80"/>
      <c r="T45" s="80"/>
      <c r="U45" s="102">
        <f t="shared" ref="U45:U70" si="31">SUM(P45:T45)</f>
        <v>0</v>
      </c>
      <c r="V45"/>
      <c r="W45" s="80"/>
      <c r="X45" s="80"/>
      <c r="Y45" s="80"/>
      <c r="Z45" s="80">
        <f>0.35+0.35</f>
        <v>0.7</v>
      </c>
      <c r="AA45" s="80">
        <v>0.3</v>
      </c>
      <c r="AB45" s="102">
        <f t="shared" ref="AB45:AB70" si="32">SUM(W45:AA45)</f>
        <v>1</v>
      </c>
      <c r="AC45"/>
      <c r="AD45" s="80"/>
      <c r="AE45" s="39"/>
      <c r="AF45" s="109">
        <f t="shared" ref="AF45:AF70" si="33">SUM(AB45,U45,N45,AD45)</f>
        <v>1</v>
      </c>
      <c r="AG45" s="43"/>
      <c r="AH45" s="121"/>
      <c r="AI45" s="134"/>
      <c r="AJ45" s="129">
        <f t="shared" ref="AJ45:AJ70" si="34">SUM(AH45:AI45)</f>
        <v>0</v>
      </c>
      <c r="AL45" s="109">
        <f t="shared" ref="AL45:AL70" si="35">SUM(AF45,AJ45)</f>
        <v>1</v>
      </c>
    </row>
    <row r="46" spans="1:40" s="41" customFormat="1" ht="13.5" thickBot="1" x14ac:dyDescent="0.25">
      <c r="A46" s="19" t="s">
        <v>28</v>
      </c>
      <c r="B46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103">
        <f t="shared" si="30"/>
        <v>0</v>
      </c>
      <c r="O46"/>
      <c r="P46" s="82"/>
      <c r="Q46" s="82"/>
      <c r="R46" s="82"/>
      <c r="S46" s="82"/>
      <c r="T46" s="82"/>
      <c r="U46" s="103">
        <f t="shared" si="31"/>
        <v>0</v>
      </c>
      <c r="V46"/>
      <c r="W46" s="45">
        <v>0.20119999999999999</v>
      </c>
      <c r="X46" s="45">
        <v>0.20119999999999999</v>
      </c>
      <c r="Y46" s="45">
        <v>0.20119999999999999</v>
      </c>
      <c r="Z46" s="45">
        <v>0.20119999999999999</v>
      </c>
      <c r="AA46" s="83">
        <f>2+0.2012</f>
        <v>2.2012</v>
      </c>
      <c r="AB46" s="103">
        <f t="shared" si="32"/>
        <v>3.0060000000000002</v>
      </c>
      <c r="AC46"/>
      <c r="AD46" s="83"/>
      <c r="AE46" s="39"/>
      <c r="AF46" s="110">
        <f t="shared" si="33"/>
        <v>3.0060000000000002</v>
      </c>
      <c r="AG46" s="43"/>
      <c r="AH46" s="122"/>
      <c r="AI46" s="135"/>
      <c r="AJ46" s="130">
        <f t="shared" si="34"/>
        <v>0</v>
      </c>
      <c r="AL46" s="110">
        <f t="shared" si="35"/>
        <v>3.0060000000000002</v>
      </c>
    </row>
    <row r="47" spans="1:40" s="41" customFormat="1" ht="13.5" thickBot="1" x14ac:dyDescent="0.25">
      <c r="A47" s="19" t="s">
        <v>85</v>
      </c>
      <c r="B47" s="39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103">
        <f t="shared" si="30"/>
        <v>0</v>
      </c>
      <c r="O47" s="39"/>
      <c r="P47" s="82"/>
      <c r="Q47" s="82"/>
      <c r="R47" s="82"/>
      <c r="S47" s="82"/>
      <c r="T47" s="82"/>
      <c r="U47" s="103">
        <f t="shared" si="31"/>
        <v>0</v>
      </c>
      <c r="V47" s="39"/>
      <c r="W47" s="45"/>
      <c r="X47" s="45"/>
      <c r="Y47" s="45"/>
      <c r="Z47" s="45"/>
      <c r="AA47" s="83"/>
      <c r="AB47" s="103">
        <f t="shared" si="32"/>
        <v>0</v>
      </c>
      <c r="AC47" s="39"/>
      <c r="AD47" s="83"/>
      <c r="AE47" s="39"/>
      <c r="AF47" s="110">
        <f t="shared" si="33"/>
        <v>0</v>
      </c>
      <c r="AG47" s="43"/>
      <c r="AH47" s="122">
        <v>22</v>
      </c>
      <c r="AI47" s="135"/>
      <c r="AJ47" s="130">
        <f t="shared" si="34"/>
        <v>22</v>
      </c>
      <c r="AL47" s="110">
        <f t="shared" si="35"/>
        <v>22</v>
      </c>
    </row>
    <row r="48" spans="1:40" s="41" customFormat="1" ht="13.5" thickBot="1" x14ac:dyDescent="0.25">
      <c r="A48" s="19" t="s">
        <v>29</v>
      </c>
      <c r="B48"/>
      <c r="C48" s="81">
        <v>325</v>
      </c>
      <c r="D48" s="81">
        <v>425</v>
      </c>
      <c r="E48" s="81"/>
      <c r="F48" s="81">
        <v>3.5</v>
      </c>
      <c r="G48" s="81">
        <v>5</v>
      </c>
      <c r="H48" s="81">
        <v>154.33799999999999</v>
      </c>
      <c r="I48" s="81"/>
      <c r="J48" s="81">
        <v>75</v>
      </c>
      <c r="K48" s="81">
        <v>75</v>
      </c>
      <c r="L48" s="81">
        <v>75</v>
      </c>
      <c r="M48" s="81">
        <v>75</v>
      </c>
      <c r="N48" s="103">
        <f t="shared" si="30"/>
        <v>1212.838</v>
      </c>
      <c r="O48"/>
      <c r="P48" s="82">
        <v>264.10000000000002</v>
      </c>
      <c r="Q48" s="82">
        <v>268.8</v>
      </c>
      <c r="R48" s="82">
        <v>283.10000000000002</v>
      </c>
      <c r="S48" s="82">
        <f>75+100.6+50</f>
        <v>225.6</v>
      </c>
      <c r="T48" s="82">
        <v>245</v>
      </c>
      <c r="U48" s="103">
        <f t="shared" si="31"/>
        <v>1286.6000000000001</v>
      </c>
      <c r="V48"/>
      <c r="W48" s="83">
        <f>260+14.6048+2.8952+2.5</f>
        <v>280</v>
      </c>
      <c r="X48" s="83">
        <f>300+13.7578+2.5+3.7422</f>
        <v>320</v>
      </c>
      <c r="Y48" s="83">
        <f>325+15</f>
        <v>340</v>
      </c>
      <c r="Z48" s="83">
        <f>300+15+1.544372</f>
        <v>316.54437200000001</v>
      </c>
      <c r="AA48" s="83">
        <f>290+5</f>
        <v>295</v>
      </c>
      <c r="AB48" s="103">
        <f t="shared" si="32"/>
        <v>1551.5443720000001</v>
      </c>
      <c r="AC48"/>
      <c r="AD48" s="83"/>
      <c r="AE48" s="39"/>
      <c r="AF48" s="110">
        <f t="shared" si="33"/>
        <v>4050.9823720000004</v>
      </c>
      <c r="AG48" s="43"/>
      <c r="AH48" s="122"/>
      <c r="AI48" s="135">
        <f>150+6.25</f>
        <v>156.25</v>
      </c>
      <c r="AJ48" s="130">
        <f t="shared" si="34"/>
        <v>156.25</v>
      </c>
      <c r="AL48" s="110">
        <f t="shared" si="35"/>
        <v>4207.2323720000004</v>
      </c>
      <c r="AN48"/>
    </row>
    <row r="49" spans="1:38" ht="26.25" thickBot="1" x14ac:dyDescent="0.25">
      <c r="A49" s="21" t="s">
        <v>46</v>
      </c>
      <c r="C49" s="81"/>
      <c r="D49" s="81"/>
      <c r="E49" s="81"/>
      <c r="F49" s="81"/>
      <c r="G49" s="81"/>
      <c r="H49" s="81"/>
      <c r="I49" s="81"/>
      <c r="J49" s="84"/>
      <c r="K49" s="82"/>
      <c r="L49" s="82"/>
      <c r="M49" s="82"/>
      <c r="N49" s="104">
        <f t="shared" si="30"/>
        <v>0</v>
      </c>
      <c r="P49" s="85"/>
      <c r="Q49" s="85">
        <v>4.3</v>
      </c>
      <c r="R49" s="85">
        <v>2.2000000000000002</v>
      </c>
      <c r="S49" s="85">
        <f>12.5+0.2754</f>
        <v>12.775399999999999</v>
      </c>
      <c r="T49" s="86">
        <v>12.5</v>
      </c>
      <c r="U49" s="104">
        <f t="shared" si="31"/>
        <v>31.775399999999998</v>
      </c>
      <c r="W49" s="86"/>
      <c r="X49" s="86"/>
      <c r="Y49" s="86"/>
      <c r="Z49" s="86"/>
      <c r="AA49" s="86"/>
      <c r="AB49" s="104">
        <f t="shared" si="32"/>
        <v>0</v>
      </c>
      <c r="AD49" s="86"/>
      <c r="AF49" s="110">
        <f t="shared" si="33"/>
        <v>31.775399999999998</v>
      </c>
      <c r="AG49" s="43"/>
      <c r="AH49" s="122"/>
      <c r="AI49" s="135"/>
      <c r="AJ49" s="130">
        <f t="shared" si="34"/>
        <v>0</v>
      </c>
      <c r="AL49" s="110">
        <f t="shared" si="35"/>
        <v>31.775399999999998</v>
      </c>
    </row>
    <row r="50" spans="1:38" s="41" customFormat="1" ht="26.25" thickBot="1" x14ac:dyDescent="0.25">
      <c r="A50" s="42" t="s">
        <v>30</v>
      </c>
      <c r="B50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103">
        <f t="shared" si="30"/>
        <v>0</v>
      </c>
      <c r="O50"/>
      <c r="P50" s="82"/>
      <c r="Q50" s="82"/>
      <c r="R50" s="82"/>
      <c r="S50" s="82"/>
      <c r="T50" s="83"/>
      <c r="U50" s="103">
        <f t="shared" si="31"/>
        <v>0</v>
      </c>
      <c r="V50"/>
      <c r="W50" s="83"/>
      <c r="X50" s="83">
        <v>0.5</v>
      </c>
      <c r="Y50" s="83">
        <v>0.5</v>
      </c>
      <c r="Z50" s="83">
        <v>0.5</v>
      </c>
      <c r="AA50" s="83"/>
      <c r="AB50" s="103">
        <f t="shared" si="32"/>
        <v>1.5</v>
      </c>
      <c r="AC50"/>
      <c r="AD50" s="83"/>
      <c r="AE50" s="39"/>
      <c r="AF50" s="110">
        <f t="shared" si="33"/>
        <v>1.5</v>
      </c>
      <c r="AG50" s="43"/>
      <c r="AH50" s="122"/>
      <c r="AI50" s="135"/>
      <c r="AJ50" s="130">
        <f t="shared" si="34"/>
        <v>0</v>
      </c>
      <c r="AL50" s="110">
        <f t="shared" si="35"/>
        <v>1.5</v>
      </c>
    </row>
    <row r="51" spans="1:38" s="41" customFormat="1" ht="13.5" thickBot="1" x14ac:dyDescent="0.25">
      <c r="A51" s="19" t="s">
        <v>31</v>
      </c>
      <c r="B5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7"/>
      <c r="N51" s="103">
        <f t="shared" si="30"/>
        <v>0</v>
      </c>
      <c r="O51"/>
      <c r="P51" s="82"/>
      <c r="Q51" s="82">
        <v>3.2</v>
      </c>
      <c r="R51" s="82">
        <v>6.8552952600000001</v>
      </c>
      <c r="S51" s="82">
        <f>4.20525+1.5662+0.0658</f>
        <v>5.8372500000000009</v>
      </c>
      <c r="T51" s="83">
        <f>3.116+0.7803</f>
        <v>3.8963000000000001</v>
      </c>
      <c r="U51" s="103">
        <f t="shared" si="31"/>
        <v>19.788845260000002</v>
      </c>
      <c r="V51"/>
      <c r="W51" s="83">
        <f>0.66092+1.30805+0.622055</f>
        <v>2.5910250000000001</v>
      </c>
      <c r="X51" s="83">
        <f>1.35152579+1.33697</f>
        <v>2.6884957900000002</v>
      </c>
      <c r="Y51" s="83">
        <v>1.89882</v>
      </c>
      <c r="Z51" s="83">
        <v>0.63432999999999995</v>
      </c>
      <c r="AA51" s="83"/>
      <c r="AB51" s="103">
        <f t="shared" si="32"/>
        <v>7.8126707900000003</v>
      </c>
      <c r="AC51"/>
      <c r="AD51" s="83"/>
      <c r="AE51" s="39"/>
      <c r="AF51" s="110">
        <f t="shared" si="33"/>
        <v>27.601516050000001</v>
      </c>
      <c r="AG51" s="43"/>
      <c r="AH51" s="122"/>
      <c r="AI51" s="135"/>
      <c r="AJ51" s="130">
        <f t="shared" si="34"/>
        <v>0</v>
      </c>
      <c r="AL51" s="110">
        <f t="shared" si="35"/>
        <v>27.601516050000001</v>
      </c>
    </row>
    <row r="52" spans="1:38" s="41" customFormat="1" ht="26.25" customHeight="1" thickBot="1" x14ac:dyDescent="0.25">
      <c r="A52" s="42" t="s">
        <v>32</v>
      </c>
      <c r="B52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103">
        <f t="shared" si="30"/>
        <v>0</v>
      </c>
      <c r="O52"/>
      <c r="P52" s="82"/>
      <c r="Q52" s="82"/>
      <c r="R52" s="82"/>
      <c r="S52" s="82">
        <f>0.8+1.2</f>
        <v>2</v>
      </c>
      <c r="T52" s="83"/>
      <c r="U52" s="103">
        <f t="shared" si="31"/>
        <v>2</v>
      </c>
      <c r="V52"/>
      <c r="W52" s="83"/>
      <c r="X52" s="83"/>
      <c r="Y52" s="83">
        <v>0.855078</v>
      </c>
      <c r="Z52" s="83"/>
      <c r="AA52" s="83">
        <v>0.31638899999999998</v>
      </c>
      <c r="AB52" s="103">
        <f t="shared" si="32"/>
        <v>1.171467</v>
      </c>
      <c r="AC52"/>
      <c r="AD52" s="83"/>
      <c r="AE52" s="39"/>
      <c r="AF52" s="110">
        <f t="shared" si="33"/>
        <v>3.1714669999999998</v>
      </c>
      <c r="AG52" s="43"/>
      <c r="AH52" s="122"/>
      <c r="AI52" s="135"/>
      <c r="AJ52" s="130">
        <f t="shared" si="34"/>
        <v>0</v>
      </c>
      <c r="AL52" s="110">
        <f t="shared" si="35"/>
        <v>3.1714669999999998</v>
      </c>
    </row>
    <row r="53" spans="1:38" s="41" customFormat="1" ht="26.25" thickBot="1" x14ac:dyDescent="0.25">
      <c r="A53" s="19" t="s">
        <v>47</v>
      </c>
      <c r="B53"/>
      <c r="C53" s="81"/>
      <c r="D53" s="81"/>
      <c r="E53" s="81"/>
      <c r="F53" s="81"/>
      <c r="G53" s="81"/>
      <c r="H53" s="81"/>
      <c r="I53" s="81"/>
      <c r="J53" s="84"/>
      <c r="K53" s="82"/>
      <c r="L53" s="82"/>
      <c r="M53" s="82"/>
      <c r="N53" s="104">
        <f t="shared" si="30"/>
        <v>0</v>
      </c>
      <c r="O53"/>
      <c r="P53" s="82">
        <v>14.077608</v>
      </c>
      <c r="Q53" s="82">
        <v>8.8254854999999992</v>
      </c>
      <c r="R53" s="82">
        <v>10.096907</v>
      </c>
      <c r="S53" s="82"/>
      <c r="T53" s="83"/>
      <c r="U53" s="104">
        <f t="shared" si="31"/>
        <v>33.000000499999999</v>
      </c>
      <c r="V53"/>
      <c r="W53" s="83"/>
      <c r="X53" s="83">
        <v>5</v>
      </c>
      <c r="Y53" s="83"/>
      <c r="Z53" s="83"/>
      <c r="AA53" s="83"/>
      <c r="AB53" s="104">
        <f t="shared" si="32"/>
        <v>5</v>
      </c>
      <c r="AC53"/>
      <c r="AD53" s="83"/>
      <c r="AE53" s="39"/>
      <c r="AF53" s="110">
        <f t="shared" si="33"/>
        <v>38.000000499999999</v>
      </c>
      <c r="AG53" s="43"/>
      <c r="AH53" s="122"/>
      <c r="AI53" s="135"/>
      <c r="AJ53" s="130">
        <f t="shared" si="34"/>
        <v>0</v>
      </c>
      <c r="AL53" s="110">
        <f t="shared" si="35"/>
        <v>38.000000499999999</v>
      </c>
    </row>
    <row r="54" spans="1:38" s="41" customFormat="1" ht="26.25" thickBot="1" x14ac:dyDescent="0.25">
      <c r="A54" s="42" t="s">
        <v>48</v>
      </c>
      <c r="B54"/>
      <c r="C54" s="81"/>
      <c r="D54" s="81"/>
      <c r="E54" s="81"/>
      <c r="F54" s="81"/>
      <c r="G54" s="81"/>
      <c r="H54" s="81"/>
      <c r="I54" s="81"/>
      <c r="J54" s="84"/>
      <c r="K54" s="82"/>
      <c r="L54" s="82"/>
      <c r="M54" s="82"/>
      <c r="N54" s="104">
        <f t="shared" si="30"/>
        <v>0</v>
      </c>
      <c r="O54"/>
      <c r="P54" s="82"/>
      <c r="Q54" s="88"/>
      <c r="R54" s="82"/>
      <c r="S54" s="82"/>
      <c r="T54" s="83"/>
      <c r="U54" s="104">
        <f t="shared" si="31"/>
        <v>0</v>
      </c>
      <c r="V54"/>
      <c r="W54" s="83">
        <f>0.10916441+0.03383559</f>
        <v>0.14300000000000002</v>
      </c>
      <c r="X54" s="83">
        <f>0.075+0.143</f>
        <v>0.21799999999999997</v>
      </c>
      <c r="Y54" s="83">
        <f>0.211+0.5+0.143</f>
        <v>0.85399999999999998</v>
      </c>
      <c r="Z54" s="83">
        <f>0.3+0.143</f>
        <v>0.44299999999999995</v>
      </c>
      <c r="AA54" s="83"/>
      <c r="AB54" s="104">
        <f t="shared" si="32"/>
        <v>1.6579999999999999</v>
      </c>
      <c r="AC54"/>
      <c r="AD54" s="83"/>
      <c r="AE54" s="39"/>
      <c r="AF54" s="110">
        <f t="shared" si="33"/>
        <v>1.6579999999999999</v>
      </c>
      <c r="AG54" s="43"/>
      <c r="AH54" s="122"/>
      <c r="AI54" s="135"/>
      <c r="AJ54" s="130">
        <f t="shared" si="34"/>
        <v>0</v>
      </c>
      <c r="AL54" s="110">
        <f t="shared" si="35"/>
        <v>1.6579999999999999</v>
      </c>
    </row>
    <row r="55" spans="1:38" ht="13.5" thickBot="1" x14ac:dyDescent="0.25">
      <c r="A55" s="34" t="s">
        <v>82</v>
      </c>
      <c r="B55" s="39"/>
      <c r="C55" s="51"/>
      <c r="D55" s="60"/>
      <c r="E55" s="51"/>
      <c r="F55" s="51"/>
      <c r="G55" s="60"/>
      <c r="H55" s="56"/>
      <c r="I55" s="57"/>
      <c r="J55" s="57"/>
      <c r="K55" s="58"/>
      <c r="L55" s="57"/>
      <c r="M55" s="57"/>
      <c r="N55" s="99">
        <f t="shared" ref="N55" si="36">SUM(C55:M55)</f>
        <v>0</v>
      </c>
      <c r="O55" s="39"/>
      <c r="P55" s="57"/>
      <c r="Q55" s="59"/>
      <c r="R55" s="59"/>
      <c r="S55" s="59"/>
      <c r="T55" s="59"/>
      <c r="U55" s="99">
        <f t="shared" ref="U55" si="37">SUM(P55:T55)</f>
        <v>0</v>
      </c>
      <c r="V55" s="39"/>
      <c r="W55" s="59"/>
      <c r="X55" s="59"/>
      <c r="Y55" s="59"/>
      <c r="Z55" s="59"/>
      <c r="AA55" s="59"/>
      <c r="AB55" s="99">
        <f t="shared" ref="AB55" si="38">SUM(W55:AA55)</f>
        <v>0</v>
      </c>
      <c r="AC55" s="39"/>
      <c r="AD55" s="59"/>
      <c r="AF55" s="107">
        <f t="shared" si="33"/>
        <v>0</v>
      </c>
      <c r="AG55" s="43"/>
      <c r="AH55" s="122"/>
      <c r="AI55" s="135">
        <v>1.3394999999999999</v>
      </c>
      <c r="AJ55" s="130">
        <f t="shared" si="34"/>
        <v>1.3394999999999999</v>
      </c>
      <c r="AL55" s="107">
        <f t="shared" si="35"/>
        <v>1.3394999999999999</v>
      </c>
    </row>
    <row r="56" spans="1:38" ht="13.5" thickBot="1" x14ac:dyDescent="0.25">
      <c r="A56" s="11" t="s">
        <v>33</v>
      </c>
      <c r="C56" s="81"/>
      <c r="D56" s="81"/>
      <c r="E56" s="81"/>
      <c r="F56" s="81"/>
      <c r="G56" s="81"/>
      <c r="H56" s="81"/>
      <c r="I56" s="81"/>
      <c r="J56" s="84"/>
      <c r="K56" s="82">
        <v>5.8</v>
      </c>
      <c r="L56" s="82">
        <v>5.9</v>
      </c>
      <c r="M56" s="82">
        <v>4</v>
      </c>
      <c r="N56" s="104">
        <f t="shared" si="30"/>
        <v>15.7</v>
      </c>
      <c r="P56" s="85">
        <v>3.1</v>
      </c>
      <c r="Q56" s="89">
        <v>2.8415940000000002</v>
      </c>
      <c r="R56" s="82">
        <v>2.0267418500000001</v>
      </c>
      <c r="S56" s="82">
        <f>0.08282487+1.3589+0.41790755-0.05290269</f>
        <v>1.80672973</v>
      </c>
      <c r="T56" s="83">
        <f>0.12171144+1.0905+0.10330079+0.00749712</f>
        <v>1.32300935</v>
      </c>
      <c r="U56" s="104">
        <f t="shared" si="31"/>
        <v>11.098074930000001</v>
      </c>
      <c r="W56" s="83">
        <f>0.54553356+0.02381135+1.09579371+0.52189105+0.15054668</f>
        <v>2.3375763500000004</v>
      </c>
      <c r="X56" s="83">
        <f>0.01439096+0.0742438+0.03536211+1.1219873+0.16116763+0.47137176+0.68446473</f>
        <v>2.5629882899999998</v>
      </c>
      <c r="Y56" s="83">
        <f>0.50279334+1.14379384</f>
        <v>1.64658718</v>
      </c>
      <c r="Z56" s="83">
        <f>2.1173994+1.2991243+1.0956</f>
        <v>4.5121237000000001</v>
      </c>
      <c r="AA56" s="83">
        <f>3.25925629+1.169+1.33320411+0.25327518+0.14542811</f>
        <v>6.160163690000001</v>
      </c>
      <c r="AB56" s="104">
        <f t="shared" si="32"/>
        <v>17.219439210000001</v>
      </c>
      <c r="AD56" s="83">
        <v>0.80180616999999998</v>
      </c>
      <c r="AF56" s="110">
        <f t="shared" si="33"/>
        <v>44.819320310000002</v>
      </c>
      <c r="AG56" s="43"/>
      <c r="AH56" s="122"/>
      <c r="AI56" s="135"/>
      <c r="AJ56" s="130">
        <f t="shared" si="34"/>
        <v>0</v>
      </c>
      <c r="AL56" s="110">
        <f t="shared" si="35"/>
        <v>44.819320310000002</v>
      </c>
    </row>
    <row r="57" spans="1:38" ht="13.5" thickBot="1" x14ac:dyDescent="0.25">
      <c r="A57" s="20" t="s">
        <v>34</v>
      </c>
      <c r="C57" s="81"/>
      <c r="D57" s="81"/>
      <c r="E57" s="81"/>
      <c r="F57" s="81"/>
      <c r="G57" s="81"/>
      <c r="H57" s="81"/>
      <c r="I57" s="81"/>
      <c r="J57" s="84"/>
      <c r="K57" s="82"/>
      <c r="L57" s="82"/>
      <c r="M57" s="82"/>
      <c r="N57" s="104">
        <f t="shared" si="30"/>
        <v>0</v>
      </c>
      <c r="P57" s="85"/>
      <c r="Q57" s="85">
        <v>1.5</v>
      </c>
      <c r="R57" s="85">
        <v>2.5</v>
      </c>
      <c r="S57" s="85">
        <v>2</v>
      </c>
      <c r="T57" s="86">
        <v>1</v>
      </c>
      <c r="U57" s="104">
        <f t="shared" si="31"/>
        <v>7</v>
      </c>
      <c r="W57" s="86">
        <v>1.2</v>
      </c>
      <c r="X57" s="86">
        <v>1</v>
      </c>
      <c r="Y57" s="86"/>
      <c r="Z57" s="86">
        <v>2.0000499999999999</v>
      </c>
      <c r="AA57" s="86"/>
      <c r="AB57" s="104">
        <f t="shared" si="32"/>
        <v>4.2000500000000001</v>
      </c>
      <c r="AD57" s="86"/>
      <c r="AF57" s="110">
        <f t="shared" si="33"/>
        <v>11.200050000000001</v>
      </c>
      <c r="AG57" s="43"/>
      <c r="AH57" s="122"/>
      <c r="AI57" s="135"/>
      <c r="AJ57" s="130">
        <f t="shared" si="34"/>
        <v>0</v>
      </c>
      <c r="AL57" s="110">
        <f t="shared" si="35"/>
        <v>11.200050000000001</v>
      </c>
    </row>
    <row r="58" spans="1:38" ht="13.5" thickBot="1" x14ac:dyDescent="0.25">
      <c r="A58" s="31" t="s">
        <v>35</v>
      </c>
      <c r="C58" s="81"/>
      <c r="D58" s="81"/>
      <c r="E58" s="81"/>
      <c r="F58" s="81"/>
      <c r="G58" s="81"/>
      <c r="H58" s="81"/>
      <c r="I58" s="81"/>
      <c r="J58" s="84"/>
      <c r="K58" s="82"/>
      <c r="L58" s="82"/>
      <c r="M58" s="82"/>
      <c r="N58" s="104">
        <f t="shared" si="30"/>
        <v>0</v>
      </c>
      <c r="P58" s="85"/>
      <c r="Q58" s="85"/>
      <c r="R58" s="85"/>
      <c r="S58" s="85">
        <f>2+3+2.5</f>
        <v>7.5</v>
      </c>
      <c r="T58" s="86">
        <f>2.5+2.5+2.5</f>
        <v>7.5</v>
      </c>
      <c r="U58" s="104">
        <f t="shared" si="31"/>
        <v>15</v>
      </c>
      <c r="W58" s="86">
        <f>1.5+1+2.392+0.108+0.5</f>
        <v>5.4999999999999991</v>
      </c>
      <c r="X58" s="86">
        <f>2+2+1+2.5+2</f>
        <v>9.5</v>
      </c>
      <c r="Y58" s="86"/>
      <c r="Z58" s="86"/>
      <c r="AA58" s="86"/>
      <c r="AB58" s="104">
        <f t="shared" si="32"/>
        <v>15</v>
      </c>
      <c r="AD58" s="86"/>
      <c r="AF58" s="110">
        <f t="shared" si="33"/>
        <v>30</v>
      </c>
      <c r="AG58" s="43"/>
      <c r="AH58" s="122"/>
      <c r="AI58" s="135"/>
      <c r="AJ58" s="130">
        <f t="shared" si="34"/>
        <v>0</v>
      </c>
      <c r="AL58" s="110">
        <f t="shared" si="35"/>
        <v>30</v>
      </c>
    </row>
    <row r="59" spans="1:38" ht="26.25" thickBot="1" x14ac:dyDescent="0.25">
      <c r="A59" s="19" t="s">
        <v>36</v>
      </c>
      <c r="C59" s="81"/>
      <c r="D59" s="81"/>
      <c r="E59" s="81"/>
      <c r="F59" s="81"/>
      <c r="G59" s="81"/>
      <c r="H59" s="81"/>
      <c r="I59" s="81"/>
      <c r="J59" s="84"/>
      <c r="K59" s="82"/>
      <c r="L59" s="82"/>
      <c r="M59" s="82"/>
      <c r="N59" s="104">
        <f t="shared" si="30"/>
        <v>0</v>
      </c>
      <c r="P59" s="85"/>
      <c r="Q59" s="89"/>
      <c r="R59" s="82">
        <v>0.65</v>
      </c>
      <c r="S59" s="44">
        <v>0.45</v>
      </c>
      <c r="T59" s="83"/>
      <c r="U59" s="104">
        <f t="shared" si="31"/>
        <v>1.1000000000000001</v>
      </c>
      <c r="W59" s="83"/>
      <c r="X59" s="83"/>
      <c r="Y59" s="83"/>
      <c r="Z59" s="83"/>
      <c r="AA59" s="83"/>
      <c r="AB59" s="104">
        <f t="shared" si="32"/>
        <v>0</v>
      </c>
      <c r="AD59" s="83"/>
      <c r="AF59" s="110">
        <f t="shared" si="33"/>
        <v>1.1000000000000001</v>
      </c>
      <c r="AG59" s="43"/>
      <c r="AH59" s="122"/>
      <c r="AI59" s="135"/>
      <c r="AJ59" s="130">
        <f t="shared" si="34"/>
        <v>0</v>
      </c>
      <c r="AL59" s="110">
        <f t="shared" si="35"/>
        <v>1.1000000000000001</v>
      </c>
    </row>
    <row r="60" spans="1:38" ht="13.5" thickBot="1" x14ac:dyDescent="0.25">
      <c r="A60" s="20" t="s">
        <v>37</v>
      </c>
      <c r="C60" s="81"/>
      <c r="D60" s="81"/>
      <c r="E60" s="81"/>
      <c r="F60" s="81"/>
      <c r="G60" s="81"/>
      <c r="H60" s="81"/>
      <c r="I60" s="81"/>
      <c r="J60" s="84"/>
      <c r="K60" s="82"/>
      <c r="L60" s="82"/>
      <c r="M60" s="82"/>
      <c r="N60" s="104">
        <f t="shared" si="30"/>
        <v>0</v>
      </c>
      <c r="P60" s="85"/>
      <c r="Q60" s="85"/>
      <c r="R60" s="85"/>
      <c r="S60" s="85"/>
      <c r="T60" s="86"/>
      <c r="U60" s="104">
        <f t="shared" si="31"/>
        <v>0</v>
      </c>
      <c r="W60" s="86"/>
      <c r="X60" s="86"/>
      <c r="Y60" s="86">
        <v>1.3858200000000001</v>
      </c>
      <c r="Z60" s="86"/>
      <c r="AA60" s="86"/>
      <c r="AB60" s="104">
        <f t="shared" si="32"/>
        <v>1.3858200000000001</v>
      </c>
      <c r="AD60" s="86"/>
      <c r="AF60" s="110">
        <f t="shared" si="33"/>
        <v>1.3858200000000001</v>
      </c>
      <c r="AG60" s="43"/>
      <c r="AH60" s="122"/>
      <c r="AI60" s="135"/>
      <c r="AJ60" s="130">
        <f t="shared" si="34"/>
        <v>0</v>
      </c>
      <c r="AL60" s="110">
        <f t="shared" si="35"/>
        <v>1.3858200000000001</v>
      </c>
    </row>
    <row r="61" spans="1:38" ht="13.5" thickBot="1" x14ac:dyDescent="0.25">
      <c r="A61" s="11" t="s">
        <v>38</v>
      </c>
      <c r="C61" s="81"/>
      <c r="D61" s="81"/>
      <c r="E61" s="81"/>
      <c r="F61" s="81"/>
      <c r="G61" s="81"/>
      <c r="H61" s="81"/>
      <c r="I61" s="81"/>
      <c r="J61" s="84"/>
      <c r="K61" s="82"/>
      <c r="L61" s="82"/>
      <c r="M61" s="82"/>
      <c r="N61" s="104">
        <f t="shared" si="30"/>
        <v>0</v>
      </c>
      <c r="P61" s="85"/>
      <c r="Q61" s="89"/>
      <c r="R61" s="82"/>
      <c r="S61" s="82"/>
      <c r="T61" s="83">
        <v>1.05</v>
      </c>
      <c r="U61" s="104">
        <f t="shared" si="31"/>
        <v>1.05</v>
      </c>
      <c r="W61" s="83">
        <f>0.1+2</f>
        <v>2.1</v>
      </c>
      <c r="X61" s="83">
        <v>2</v>
      </c>
      <c r="Y61" s="83">
        <f>0.5+0.5+0.9</f>
        <v>1.9</v>
      </c>
      <c r="Z61" s="45">
        <v>0.1</v>
      </c>
      <c r="AA61" s="83"/>
      <c r="AB61" s="104">
        <f t="shared" si="32"/>
        <v>6.1</v>
      </c>
      <c r="AD61" s="83"/>
      <c r="AF61" s="110">
        <f t="shared" si="33"/>
        <v>7.1499999999999995</v>
      </c>
      <c r="AG61" s="43"/>
      <c r="AH61" s="122"/>
      <c r="AI61" s="135"/>
      <c r="AJ61" s="130">
        <f t="shared" si="34"/>
        <v>0</v>
      </c>
      <c r="AL61" s="110">
        <f t="shared" si="35"/>
        <v>7.1499999999999995</v>
      </c>
    </row>
    <row r="62" spans="1:38" ht="13.5" thickBot="1" x14ac:dyDescent="0.25">
      <c r="A62" s="31" t="s">
        <v>74</v>
      </c>
      <c r="C62" s="81"/>
      <c r="D62" s="81"/>
      <c r="E62" s="81"/>
      <c r="F62" s="81"/>
      <c r="G62" s="81"/>
      <c r="H62" s="81"/>
      <c r="I62" s="81"/>
      <c r="J62" s="84"/>
      <c r="K62" s="82"/>
      <c r="L62" s="82"/>
      <c r="M62" s="82"/>
      <c r="N62" s="104">
        <f t="shared" si="30"/>
        <v>0</v>
      </c>
      <c r="P62" s="85"/>
      <c r="Q62" s="85"/>
      <c r="R62" s="85"/>
      <c r="S62" s="85"/>
      <c r="T62" s="86"/>
      <c r="U62" s="104">
        <f t="shared" si="31"/>
        <v>0</v>
      </c>
      <c r="W62" s="86"/>
      <c r="X62" s="86"/>
      <c r="Y62" s="86"/>
      <c r="Z62" s="86"/>
      <c r="AA62" s="86"/>
      <c r="AB62" s="104">
        <f t="shared" si="32"/>
        <v>0</v>
      </c>
      <c r="AD62" s="86"/>
      <c r="AF62" s="110">
        <f t="shared" si="33"/>
        <v>0</v>
      </c>
      <c r="AG62" s="43"/>
      <c r="AH62" s="122">
        <v>30</v>
      </c>
      <c r="AI62" s="135"/>
      <c r="AJ62" s="130">
        <f t="shared" si="34"/>
        <v>30</v>
      </c>
      <c r="AL62" s="110">
        <f t="shared" si="35"/>
        <v>30</v>
      </c>
    </row>
    <row r="63" spans="1:38" ht="13.5" thickBot="1" x14ac:dyDescent="0.25">
      <c r="A63" s="11" t="s">
        <v>45</v>
      </c>
      <c r="C63" s="81"/>
      <c r="D63" s="81"/>
      <c r="E63" s="81"/>
      <c r="F63" s="81"/>
      <c r="G63" s="81"/>
      <c r="H63" s="81"/>
      <c r="I63" s="81"/>
      <c r="J63" s="84"/>
      <c r="K63" s="82"/>
      <c r="L63" s="82"/>
      <c r="M63" s="82"/>
      <c r="N63" s="104">
        <f t="shared" si="30"/>
        <v>0</v>
      </c>
      <c r="P63" s="85"/>
      <c r="Q63" s="89"/>
      <c r="R63" s="82"/>
      <c r="S63" s="82"/>
      <c r="T63" s="83"/>
      <c r="U63" s="104">
        <f t="shared" si="31"/>
        <v>0</v>
      </c>
      <c r="W63" s="83"/>
      <c r="X63" s="83"/>
      <c r="Y63" s="83"/>
      <c r="Z63" s="83">
        <v>3</v>
      </c>
      <c r="AA63" s="83"/>
      <c r="AB63" s="104">
        <f t="shared" si="32"/>
        <v>3</v>
      </c>
      <c r="AD63" s="83"/>
      <c r="AF63" s="110">
        <f t="shared" si="33"/>
        <v>3</v>
      </c>
      <c r="AG63" s="43"/>
      <c r="AH63" s="122"/>
      <c r="AI63" s="135"/>
      <c r="AJ63" s="130">
        <f t="shared" si="34"/>
        <v>0</v>
      </c>
      <c r="AL63" s="110">
        <f t="shared" si="35"/>
        <v>3</v>
      </c>
    </row>
    <row r="64" spans="1:38" ht="13.5" thickBot="1" x14ac:dyDescent="0.25">
      <c r="A64" s="20" t="s">
        <v>69</v>
      </c>
      <c r="B64" s="39"/>
      <c r="C64" s="81"/>
      <c r="D64" s="81"/>
      <c r="E64" s="81"/>
      <c r="F64" s="81"/>
      <c r="G64" s="81"/>
      <c r="H64" s="81"/>
      <c r="I64" s="81"/>
      <c r="J64" s="84"/>
      <c r="K64" s="82"/>
      <c r="L64" s="82"/>
      <c r="M64" s="82"/>
      <c r="N64" s="104">
        <f t="shared" si="30"/>
        <v>0</v>
      </c>
      <c r="O64" s="39"/>
      <c r="P64" s="85"/>
      <c r="Q64" s="89"/>
      <c r="R64" s="82"/>
      <c r="S64" s="82"/>
      <c r="T64" s="83"/>
      <c r="U64" s="104">
        <f t="shared" si="31"/>
        <v>0</v>
      </c>
      <c r="V64" s="39"/>
      <c r="W64" s="83"/>
      <c r="X64" s="83"/>
      <c r="Y64" s="83"/>
      <c r="Z64" s="83"/>
      <c r="AA64" s="83"/>
      <c r="AB64" s="104">
        <f t="shared" si="32"/>
        <v>0</v>
      </c>
      <c r="AC64" s="39"/>
      <c r="AD64" s="83"/>
      <c r="AF64" s="110">
        <f t="shared" si="33"/>
        <v>0</v>
      </c>
      <c r="AG64" s="43"/>
      <c r="AH64" s="122">
        <v>10</v>
      </c>
      <c r="AI64" s="135"/>
      <c r="AJ64" s="130">
        <f t="shared" si="34"/>
        <v>10</v>
      </c>
      <c r="AL64" s="110">
        <f t="shared" si="35"/>
        <v>10</v>
      </c>
    </row>
    <row r="65" spans="1:38" ht="13.5" thickBot="1" x14ac:dyDescent="0.25">
      <c r="A65" s="34" t="s">
        <v>80</v>
      </c>
      <c r="B65" s="39"/>
      <c r="C65" s="51"/>
      <c r="D65" s="60"/>
      <c r="E65" s="51"/>
      <c r="F65" s="51"/>
      <c r="G65" s="60"/>
      <c r="H65" s="56"/>
      <c r="I65" s="57"/>
      <c r="J65" s="57"/>
      <c r="K65" s="58"/>
      <c r="L65" s="57"/>
      <c r="M65" s="57"/>
      <c r="N65" s="99">
        <f t="shared" ref="N65" si="39">SUM(C65:M65)</f>
        <v>0</v>
      </c>
      <c r="O65" s="39"/>
      <c r="P65" s="57"/>
      <c r="Q65" s="59"/>
      <c r="R65" s="59"/>
      <c r="S65" s="59"/>
      <c r="T65" s="59"/>
      <c r="U65" s="99">
        <f t="shared" ref="U65" si="40">SUM(P65:T65)</f>
        <v>0</v>
      </c>
      <c r="V65" s="39"/>
      <c r="W65" s="59"/>
      <c r="X65" s="59"/>
      <c r="Y65" s="59"/>
      <c r="Z65" s="59"/>
      <c r="AA65" s="59"/>
      <c r="AB65" s="99">
        <f t="shared" ref="AB65" si="41">SUM(W65:AA65)</f>
        <v>0</v>
      </c>
      <c r="AC65" s="39"/>
      <c r="AD65" s="59"/>
      <c r="AF65" s="107">
        <f t="shared" si="33"/>
        <v>0</v>
      </c>
      <c r="AG65" s="43"/>
      <c r="AH65" s="122"/>
      <c r="AI65" s="135">
        <v>3.9320541099999997</v>
      </c>
      <c r="AJ65" s="130">
        <f t="shared" si="34"/>
        <v>3.9320541099999997</v>
      </c>
      <c r="AL65" s="107">
        <f t="shared" si="35"/>
        <v>3.9320541099999997</v>
      </c>
    </row>
    <row r="66" spans="1:38" ht="13.5" thickBot="1" x14ac:dyDescent="0.25">
      <c r="A66" s="31" t="s">
        <v>53</v>
      </c>
      <c r="B66" s="39"/>
      <c r="C66" s="81"/>
      <c r="D66" s="81"/>
      <c r="E66" s="81"/>
      <c r="F66" s="81"/>
      <c r="G66" s="81"/>
      <c r="H66" s="81"/>
      <c r="I66" s="81"/>
      <c r="J66" s="84"/>
      <c r="K66" s="82"/>
      <c r="L66" s="82"/>
      <c r="M66" s="82"/>
      <c r="N66" s="104">
        <f t="shared" ref="N66" si="42">SUM(C66:M66)</f>
        <v>0</v>
      </c>
      <c r="O66" s="39"/>
      <c r="P66" s="85"/>
      <c r="Q66" s="85"/>
      <c r="R66" s="85"/>
      <c r="S66" s="85"/>
      <c r="T66" s="86"/>
      <c r="U66" s="104">
        <f t="shared" ref="U66" si="43">SUM(P66:T66)</f>
        <v>0</v>
      </c>
      <c r="V66" s="39"/>
      <c r="W66" s="86"/>
      <c r="X66" s="86"/>
      <c r="Y66" s="86"/>
      <c r="Z66" s="86"/>
      <c r="AA66" s="86">
        <v>5</v>
      </c>
      <c r="AB66" s="104">
        <f t="shared" ref="AB66" si="44">SUM(W66:AA66)</f>
        <v>5</v>
      </c>
      <c r="AC66" s="39"/>
      <c r="AD66" s="86"/>
      <c r="AF66" s="110">
        <f t="shared" si="33"/>
        <v>5</v>
      </c>
      <c r="AG66" s="43"/>
      <c r="AH66" s="122">
        <v>5</v>
      </c>
      <c r="AI66" s="135"/>
      <c r="AJ66" s="130">
        <f t="shared" si="34"/>
        <v>5</v>
      </c>
      <c r="AL66" s="110">
        <f t="shared" si="35"/>
        <v>10</v>
      </c>
    </row>
    <row r="67" spans="1:38" ht="13.5" thickBot="1" x14ac:dyDescent="0.25">
      <c r="A67" s="31" t="s">
        <v>67</v>
      </c>
      <c r="C67" s="81"/>
      <c r="D67" s="81"/>
      <c r="E67" s="81"/>
      <c r="F67" s="81"/>
      <c r="G67" s="81"/>
      <c r="H67" s="81"/>
      <c r="I67" s="81"/>
      <c r="J67" s="84"/>
      <c r="K67" s="82"/>
      <c r="L67" s="82"/>
      <c r="M67" s="82"/>
      <c r="N67" s="104">
        <f t="shared" si="30"/>
        <v>0</v>
      </c>
      <c r="P67" s="85"/>
      <c r="Q67" s="85"/>
      <c r="R67" s="85"/>
      <c r="S67" s="85"/>
      <c r="T67" s="86"/>
      <c r="U67" s="104">
        <f t="shared" si="31"/>
        <v>0</v>
      </c>
      <c r="W67" s="86"/>
      <c r="X67" s="86"/>
      <c r="Y67" s="86"/>
      <c r="Z67" s="86"/>
      <c r="AA67" s="86"/>
      <c r="AB67" s="104">
        <f t="shared" si="32"/>
        <v>0</v>
      </c>
      <c r="AD67" s="86"/>
      <c r="AF67" s="110">
        <f t="shared" si="33"/>
        <v>0</v>
      </c>
      <c r="AG67" s="43"/>
      <c r="AH67" s="122">
        <v>3.2370000000000001E-4</v>
      </c>
      <c r="AI67" s="135"/>
      <c r="AJ67" s="130">
        <f t="shared" si="34"/>
        <v>3.2370000000000001E-4</v>
      </c>
      <c r="AL67" s="110">
        <f t="shared" si="35"/>
        <v>3.2370000000000001E-4</v>
      </c>
    </row>
    <row r="68" spans="1:38" ht="15" thickBot="1" x14ac:dyDescent="0.25">
      <c r="A68" s="34" t="s">
        <v>52</v>
      </c>
      <c r="C68" s="81"/>
      <c r="D68" s="81"/>
      <c r="E68" s="81"/>
      <c r="F68" s="81"/>
      <c r="G68" s="81"/>
      <c r="H68" s="81"/>
      <c r="I68" s="81"/>
      <c r="J68" s="84"/>
      <c r="K68" s="82"/>
      <c r="L68" s="82"/>
      <c r="M68" s="82"/>
      <c r="N68" s="104">
        <f t="shared" si="30"/>
        <v>0</v>
      </c>
      <c r="P68" s="85"/>
      <c r="Q68" s="89"/>
      <c r="R68" s="82"/>
      <c r="S68" s="82"/>
      <c r="T68" s="83"/>
      <c r="U68" s="104">
        <f t="shared" si="31"/>
        <v>0</v>
      </c>
      <c r="W68" s="83">
        <v>1.0444</v>
      </c>
      <c r="X68" s="83">
        <v>1.10490844</v>
      </c>
      <c r="Y68" s="83">
        <v>1.0774045000000001</v>
      </c>
      <c r="Z68" s="83">
        <v>0.55359999999999998</v>
      </c>
      <c r="AA68" s="83">
        <f>1.0259925+0.6058</f>
        <v>1.6317925</v>
      </c>
      <c r="AB68" s="104">
        <f t="shared" si="32"/>
        <v>5.4121054399999995</v>
      </c>
      <c r="AD68" s="83"/>
      <c r="AF68" s="110">
        <f t="shared" si="33"/>
        <v>5.4121054399999995</v>
      </c>
      <c r="AG68" s="43"/>
      <c r="AH68" s="122"/>
      <c r="AI68" s="135"/>
      <c r="AJ68" s="130">
        <f t="shared" si="34"/>
        <v>0</v>
      </c>
      <c r="AL68" s="110">
        <f t="shared" si="35"/>
        <v>5.4121054399999995</v>
      </c>
    </row>
    <row r="69" spans="1:38" ht="13.5" thickBot="1" x14ac:dyDescent="0.25">
      <c r="A69" s="31" t="s">
        <v>71</v>
      </c>
      <c r="B69" s="39"/>
      <c r="C69" s="81"/>
      <c r="D69" s="81"/>
      <c r="E69" s="81"/>
      <c r="F69" s="81"/>
      <c r="G69" s="81"/>
      <c r="H69" s="81"/>
      <c r="I69" s="81"/>
      <c r="J69" s="84"/>
      <c r="K69" s="82"/>
      <c r="L69" s="82"/>
      <c r="M69" s="82"/>
      <c r="N69" s="104">
        <f t="shared" ref="N69" si="45">SUM(C69:M69)</f>
        <v>0</v>
      </c>
      <c r="O69" s="39"/>
      <c r="P69" s="85"/>
      <c r="Q69" s="85"/>
      <c r="R69" s="85"/>
      <c r="S69" s="85"/>
      <c r="T69" s="86"/>
      <c r="U69" s="104">
        <f t="shared" ref="U69" si="46">SUM(P69:T69)</f>
        <v>0</v>
      </c>
      <c r="V69" s="39"/>
      <c r="W69" s="86"/>
      <c r="X69" s="86"/>
      <c r="Y69" s="86"/>
      <c r="Z69" s="86"/>
      <c r="AA69" s="86">
        <v>0.75</v>
      </c>
      <c r="AB69" s="104">
        <f t="shared" ref="AB69" si="47">SUM(W69:AA69)</f>
        <v>0.75</v>
      </c>
      <c r="AC69" s="39"/>
      <c r="AD69" s="86"/>
      <c r="AF69" s="110">
        <f t="shared" si="33"/>
        <v>0.75</v>
      </c>
      <c r="AG69" s="43"/>
      <c r="AH69" s="122"/>
      <c r="AI69" s="135"/>
      <c r="AJ69" s="130">
        <f t="shared" si="34"/>
        <v>0</v>
      </c>
      <c r="AL69" s="110">
        <f t="shared" si="35"/>
        <v>0.75</v>
      </c>
    </row>
    <row r="70" spans="1:38" ht="15" thickBot="1" x14ac:dyDescent="0.25">
      <c r="A70" s="30" t="s">
        <v>54</v>
      </c>
      <c r="C70" s="114">
        <v>0.02</v>
      </c>
      <c r="D70" s="82"/>
      <c r="E70" s="82">
        <v>1.6303609999999999</v>
      </c>
      <c r="F70" s="82">
        <v>2.5808469999999999</v>
      </c>
      <c r="G70" s="82">
        <v>1.805051</v>
      </c>
      <c r="H70" s="44">
        <v>0.47348000000000001</v>
      </c>
      <c r="I70" s="82">
        <v>1.904352</v>
      </c>
      <c r="J70" s="82">
        <v>1.1000000000000001</v>
      </c>
      <c r="K70" s="82">
        <v>0.8</v>
      </c>
      <c r="L70" s="82">
        <v>1</v>
      </c>
      <c r="M70" s="82">
        <v>1</v>
      </c>
      <c r="N70" s="104">
        <f t="shared" si="30"/>
        <v>12.314090999999999</v>
      </c>
      <c r="P70" s="82">
        <v>4.1880000000000006</v>
      </c>
      <c r="Q70" s="82">
        <v>3.4104000000000001</v>
      </c>
      <c r="R70" s="82">
        <v>5.7363503400000004</v>
      </c>
      <c r="S70" s="82">
        <v>2.32958709</v>
      </c>
      <c r="T70" s="83">
        <v>0.85855387000000005</v>
      </c>
      <c r="U70" s="104">
        <f t="shared" si="31"/>
        <v>16.522891300000001</v>
      </c>
      <c r="W70" s="45">
        <v>0.12480490000000002</v>
      </c>
      <c r="X70" s="45">
        <v>0.18140292</v>
      </c>
      <c r="Y70" s="45">
        <v>8.4956599999999993E-2</v>
      </c>
      <c r="Z70" s="83">
        <f>0.68882139+0.5+0.25</f>
        <v>1.43882139</v>
      </c>
      <c r="AA70" s="83">
        <v>1.1763695000000001</v>
      </c>
      <c r="AB70" s="104">
        <f t="shared" si="32"/>
        <v>3.00635531</v>
      </c>
      <c r="AD70" s="83"/>
      <c r="AF70" s="111">
        <f t="shared" si="33"/>
        <v>31.843337609999999</v>
      </c>
      <c r="AG70" s="43"/>
      <c r="AH70" s="122">
        <v>4.3314999999999999E-2</v>
      </c>
      <c r="AI70" s="135">
        <v>1.11210444</v>
      </c>
      <c r="AJ70" s="130">
        <f t="shared" si="34"/>
        <v>1.15541944</v>
      </c>
      <c r="AL70" s="111">
        <f t="shared" si="35"/>
        <v>32.998757050000002</v>
      </c>
    </row>
    <row r="71" spans="1:38" ht="26.25" thickBot="1" x14ac:dyDescent="0.25">
      <c r="A71" s="16" t="s">
        <v>84</v>
      </c>
      <c r="C71" s="90">
        <f t="shared" ref="C71:AF71" si="48">SUM(C45:C70)</f>
        <v>325.02</v>
      </c>
      <c r="D71" s="90">
        <f t="shared" si="48"/>
        <v>425</v>
      </c>
      <c r="E71" s="90">
        <f t="shared" si="48"/>
        <v>1.6303609999999999</v>
      </c>
      <c r="F71" s="90">
        <f t="shared" si="48"/>
        <v>6.0808470000000003</v>
      </c>
      <c r="G71" s="90">
        <f t="shared" si="48"/>
        <v>6.8050509999999997</v>
      </c>
      <c r="H71" s="90">
        <f t="shared" si="48"/>
        <v>154.81147999999999</v>
      </c>
      <c r="I71" s="90">
        <f t="shared" si="48"/>
        <v>1.904352</v>
      </c>
      <c r="J71" s="90">
        <f t="shared" si="48"/>
        <v>76.099999999999994</v>
      </c>
      <c r="K71" s="90">
        <f t="shared" si="48"/>
        <v>81.599999999999994</v>
      </c>
      <c r="L71" s="90">
        <f t="shared" si="48"/>
        <v>81.900000000000006</v>
      </c>
      <c r="M71" s="90">
        <f t="shared" si="48"/>
        <v>80</v>
      </c>
      <c r="N71" s="118">
        <f t="shared" si="48"/>
        <v>1240.852091</v>
      </c>
      <c r="P71" s="90">
        <f t="shared" si="48"/>
        <v>285.46560800000003</v>
      </c>
      <c r="Q71" s="90">
        <f t="shared" si="48"/>
        <v>292.87747949999999</v>
      </c>
      <c r="R71" s="90">
        <f t="shared" si="48"/>
        <v>313.16529444999998</v>
      </c>
      <c r="S71" s="90">
        <f t="shared" si="48"/>
        <v>260.29896681999998</v>
      </c>
      <c r="T71" s="90">
        <f t="shared" si="48"/>
        <v>273.12786321999999</v>
      </c>
      <c r="U71" s="118">
        <f t="shared" si="48"/>
        <v>1424.93521199</v>
      </c>
      <c r="W71" s="90">
        <f t="shared" si="48"/>
        <v>295.24200624999997</v>
      </c>
      <c r="X71" s="90">
        <f t="shared" si="48"/>
        <v>344.95699543999996</v>
      </c>
      <c r="Y71" s="90">
        <f t="shared" si="48"/>
        <v>350.40386627999993</v>
      </c>
      <c r="Z71" s="90">
        <f t="shared" si="48"/>
        <v>330.62749709000002</v>
      </c>
      <c r="AA71" s="90">
        <f t="shared" si="48"/>
        <v>312.53591469000003</v>
      </c>
      <c r="AB71" s="118">
        <f t="shared" si="48"/>
        <v>1633.7662797499997</v>
      </c>
      <c r="AD71" s="90">
        <f t="shared" ref="AD71" si="49">SUM(AD45:AD70)</f>
        <v>0.80180616999999998</v>
      </c>
      <c r="AF71" s="117">
        <f t="shared" si="48"/>
        <v>4300.3553889100021</v>
      </c>
      <c r="AG71" s="13"/>
      <c r="AH71" s="124">
        <f>SUM(AH45:AH70)</f>
        <v>67.043638700000002</v>
      </c>
      <c r="AI71" s="126">
        <f>SUM(AI45:AI70)</f>
        <v>162.63365854999998</v>
      </c>
      <c r="AJ71" s="126">
        <f t="shared" ref="AJ71" si="50">SUM(AJ45:AJ70)</f>
        <v>229.67729724999998</v>
      </c>
      <c r="AL71" s="117">
        <f>SUM(AL45:AL70)</f>
        <v>4530.0326861600024</v>
      </c>
    </row>
    <row r="72" spans="1:38" s="41" customFormat="1" ht="13.5" thickBot="1" x14ac:dyDescent="0.25">
      <c r="A72" s="17"/>
      <c r="B72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22"/>
      <c r="O72"/>
      <c r="P72" s="91"/>
      <c r="Q72" s="91"/>
      <c r="R72" s="91"/>
      <c r="S72" s="91"/>
      <c r="T72" s="91"/>
      <c r="U72" s="22"/>
      <c r="V72"/>
      <c r="W72" s="91"/>
      <c r="X72" s="91"/>
      <c r="Y72" s="91"/>
      <c r="Z72" s="91"/>
      <c r="AA72" s="91"/>
      <c r="AB72" s="22"/>
      <c r="AC72"/>
      <c r="AD72" s="91"/>
      <c r="AE72" s="39"/>
      <c r="AF72" s="119"/>
      <c r="AG72" s="13"/>
      <c r="AH72" s="115"/>
      <c r="AI72" s="115"/>
      <c r="AJ72" s="115"/>
      <c r="AL72" s="120"/>
    </row>
    <row r="73" spans="1:38" ht="13.5" thickBot="1" x14ac:dyDescent="0.25">
      <c r="A73" s="23" t="s">
        <v>40</v>
      </c>
      <c r="C73" s="92">
        <f t="shared" ref="C73:AL73" si="51">C43+C71</f>
        <v>329.48339999999996</v>
      </c>
      <c r="D73" s="92">
        <f t="shared" si="51"/>
        <v>518.08656439000004</v>
      </c>
      <c r="E73" s="92">
        <f t="shared" si="51"/>
        <v>107.88534496</v>
      </c>
      <c r="F73" s="92">
        <f t="shared" si="51"/>
        <v>116.99487873000001</v>
      </c>
      <c r="G73" s="92">
        <f t="shared" si="51"/>
        <v>167.20320235999998</v>
      </c>
      <c r="H73" s="92">
        <f t="shared" si="51"/>
        <v>429.73539605999997</v>
      </c>
      <c r="I73" s="92">
        <f t="shared" si="51"/>
        <v>218.10446149000003</v>
      </c>
      <c r="J73" s="92">
        <f t="shared" si="51"/>
        <v>358.39137800000003</v>
      </c>
      <c r="K73" s="92">
        <f t="shared" si="51"/>
        <v>350.92929426000001</v>
      </c>
      <c r="L73" s="92">
        <f t="shared" si="51"/>
        <v>337.88825982000003</v>
      </c>
      <c r="M73" s="92">
        <f t="shared" si="51"/>
        <v>332.64002400000004</v>
      </c>
      <c r="N73" s="116">
        <f t="shared" si="51"/>
        <v>3267.3422040699998</v>
      </c>
      <c r="P73" s="92">
        <f t="shared" si="51"/>
        <v>798.35660800000005</v>
      </c>
      <c r="Q73" s="92">
        <f t="shared" si="51"/>
        <v>908.0821338400001</v>
      </c>
      <c r="R73" s="92">
        <f t="shared" si="51"/>
        <v>1307.5018276000001</v>
      </c>
      <c r="S73" s="92">
        <f t="shared" si="51"/>
        <v>1181.1065951600001</v>
      </c>
      <c r="T73" s="92">
        <f t="shared" si="51"/>
        <v>1275.10837741</v>
      </c>
      <c r="U73" s="116">
        <f t="shared" si="51"/>
        <v>5470.1555420099994</v>
      </c>
      <c r="W73" s="92">
        <f t="shared" si="51"/>
        <v>1468.4981930200001</v>
      </c>
      <c r="X73" s="92">
        <f t="shared" si="51"/>
        <v>1470.50115691</v>
      </c>
      <c r="Y73" s="92">
        <f t="shared" si="51"/>
        <v>1488.3740361124999</v>
      </c>
      <c r="Z73" s="92">
        <f t="shared" si="51"/>
        <v>1610.6591853100003</v>
      </c>
      <c r="AA73" s="92">
        <f t="shared" si="51"/>
        <v>1463.2435690758161</v>
      </c>
      <c r="AB73" s="116">
        <f t="shared" si="51"/>
        <v>7501.2761404283156</v>
      </c>
      <c r="AD73" s="92">
        <f t="shared" ref="AD73" si="52">AD43+AD71</f>
        <v>79.46940668000002</v>
      </c>
      <c r="AF73" s="116">
        <f t="shared" si="51"/>
        <v>16318.243293188318</v>
      </c>
      <c r="AG73" s="13"/>
      <c r="AH73" s="124">
        <f t="shared" si="51"/>
        <v>351.07957633000001</v>
      </c>
      <c r="AI73" s="126">
        <f>AI43+AI71</f>
        <v>2665.1966948499999</v>
      </c>
      <c r="AJ73" s="126">
        <f t="shared" si="51"/>
        <v>3016.2762711800001</v>
      </c>
      <c r="AL73" s="116">
        <f t="shared" si="51"/>
        <v>19334.519564368318</v>
      </c>
    </row>
    <row r="74" spans="1:38" s="25" customFormat="1" ht="13.5" thickBot="1" x14ac:dyDescent="0.25">
      <c r="A74" s="24"/>
      <c r="B74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22"/>
      <c r="O74"/>
      <c r="P74" s="91"/>
      <c r="Q74" s="91"/>
      <c r="R74" s="91"/>
      <c r="S74" s="91"/>
      <c r="T74" s="91"/>
      <c r="U74" s="22"/>
      <c r="V74"/>
      <c r="W74" s="91"/>
      <c r="X74" s="91"/>
      <c r="Y74" s="91"/>
      <c r="Z74" s="91"/>
      <c r="AA74" s="91"/>
      <c r="AB74" s="22"/>
      <c r="AC74"/>
      <c r="AD74" s="91"/>
      <c r="AE74" s="39"/>
      <c r="AF74" s="22"/>
      <c r="AG74" s="13"/>
      <c r="AH74" s="39"/>
      <c r="AI74" s="39"/>
      <c r="AJ74" s="39"/>
    </row>
    <row r="75" spans="1:38" ht="15" thickBot="1" x14ac:dyDescent="0.25">
      <c r="A75" s="26" t="s">
        <v>55</v>
      </c>
      <c r="C75" s="77"/>
      <c r="D75" s="77"/>
      <c r="E75" s="77"/>
      <c r="F75" s="77"/>
      <c r="G75" s="77"/>
      <c r="H75" s="77"/>
      <c r="I75" s="77">
        <v>524.74928499999999</v>
      </c>
      <c r="J75" s="77">
        <v>428.268866</v>
      </c>
      <c r="K75" s="77">
        <v>272.63813299999998</v>
      </c>
      <c r="L75" s="77">
        <v>330.02699999999999</v>
      </c>
      <c r="M75" s="77">
        <v>320</v>
      </c>
      <c r="N75" s="117">
        <f t="shared" ref="N75:N76" si="53">SUM(C75:M75)</f>
        <v>1875.683284</v>
      </c>
      <c r="P75" s="77">
        <v>300</v>
      </c>
      <c r="Q75" s="77">
        <v>100</v>
      </c>
      <c r="R75" s="77">
        <v>200</v>
      </c>
      <c r="S75" s="93">
        <v>0</v>
      </c>
      <c r="T75" s="93">
        <v>0</v>
      </c>
      <c r="U75" s="117">
        <f t="shared" ref="U75:U76" si="54">SUM(P75:T75)</f>
        <v>600</v>
      </c>
      <c r="W75" s="93">
        <v>100</v>
      </c>
      <c r="X75" s="93">
        <v>0</v>
      </c>
      <c r="Y75" s="93">
        <v>50</v>
      </c>
      <c r="Z75" s="93">
        <f>65.69998245+250</f>
        <v>315.69998244999999</v>
      </c>
      <c r="AA75" s="93">
        <f>200+200.36460762+6.07750001</f>
        <v>406.44210763000001</v>
      </c>
      <c r="AB75" s="117">
        <f t="shared" ref="AB75:AB76" si="55">SUM(W75:AA75)</f>
        <v>872.14209008</v>
      </c>
      <c r="AD75" s="93">
        <v>0</v>
      </c>
      <c r="AF75" s="117">
        <f t="shared" ref="AF75:AF76" si="56">SUM(AB75,U75,N75,AD75)</f>
        <v>3347.8253740800001</v>
      </c>
      <c r="AG75" s="10"/>
      <c r="AH75" s="124"/>
      <c r="AI75" s="126">
        <v>400</v>
      </c>
      <c r="AJ75" s="126">
        <f>SUM(AH75:AI75)</f>
        <v>400</v>
      </c>
      <c r="AL75" s="117">
        <f>SUM(AF75,AJ75)</f>
        <v>3747.8253740800001</v>
      </c>
    </row>
    <row r="76" spans="1:38" ht="15" thickBot="1" x14ac:dyDescent="0.25">
      <c r="A76" s="26" t="s">
        <v>56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>
        <v>42.877049999999997</v>
      </c>
      <c r="N76" s="117">
        <f t="shared" si="53"/>
        <v>42.877049999999997</v>
      </c>
      <c r="P76" s="77">
        <f>128165700/1000000</f>
        <v>128.16569999999999</v>
      </c>
      <c r="Q76" s="77">
        <v>223.5</v>
      </c>
      <c r="R76" s="77">
        <v>214.42</v>
      </c>
      <c r="S76" s="77">
        <f>25+65+6+36.72+105</f>
        <v>237.72</v>
      </c>
      <c r="T76" s="77">
        <f>10+100+12.96</f>
        <v>122.96000000000001</v>
      </c>
      <c r="U76" s="117">
        <f t="shared" si="54"/>
        <v>926.76570000000004</v>
      </c>
      <c r="W76" s="77">
        <f>17+73+8.5+8.64</f>
        <v>107.14</v>
      </c>
      <c r="X76" s="77">
        <f>18.21725+16.5</f>
        <v>34.71725</v>
      </c>
      <c r="Y76" s="77">
        <f>25+20+11.5425</f>
        <v>56.542500000000004</v>
      </c>
      <c r="Z76" s="77">
        <f>55+7.695+6.7625</f>
        <v>69.457499999999996</v>
      </c>
      <c r="AA76" s="77">
        <f>27+48</f>
        <v>75</v>
      </c>
      <c r="AB76" s="117">
        <f t="shared" si="55"/>
        <v>342.85724999999996</v>
      </c>
      <c r="AD76" s="77">
        <v>0</v>
      </c>
      <c r="AF76" s="117">
        <f t="shared" si="56"/>
        <v>1312.5</v>
      </c>
      <c r="AG76" s="10"/>
      <c r="AH76" s="46"/>
      <c r="AI76" s="137"/>
      <c r="AJ76" s="46"/>
      <c r="AL76" s="117">
        <f>SUM(AF76,AJ76)</f>
        <v>1312.5</v>
      </c>
    </row>
    <row r="77" spans="1:38" s="41" customFormat="1" ht="13.5" thickBot="1" x14ac:dyDescent="0.25">
      <c r="A77" s="24"/>
      <c r="B77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18"/>
      <c r="O77"/>
      <c r="P77" s="78"/>
      <c r="Q77" s="78"/>
      <c r="R77" s="78"/>
      <c r="S77" s="78"/>
      <c r="T77" s="78"/>
      <c r="U77" s="18"/>
      <c r="V77"/>
      <c r="W77" s="78"/>
      <c r="X77" s="78"/>
      <c r="Y77" s="78"/>
      <c r="Z77" s="78"/>
      <c r="AA77" s="78"/>
      <c r="AB77" s="18"/>
      <c r="AC77"/>
      <c r="AD77" s="78"/>
      <c r="AE77" s="39"/>
      <c r="AF77" s="18"/>
      <c r="AG77" s="13"/>
      <c r="AH77" s="39"/>
      <c r="AI77" s="137"/>
      <c r="AJ77" s="39"/>
      <c r="AK77" s="39"/>
      <c r="AL77" s="39"/>
    </row>
    <row r="78" spans="1:38" ht="13.5" thickBot="1" x14ac:dyDescent="0.25">
      <c r="A78" s="27" t="s">
        <v>41</v>
      </c>
      <c r="C78" s="94">
        <f t="shared" ref="C78:AF78" si="57">SUM(C73:C76)</f>
        <v>329.48339999999996</v>
      </c>
      <c r="D78" s="94">
        <f t="shared" si="57"/>
        <v>518.08656439000004</v>
      </c>
      <c r="E78" s="94">
        <f t="shared" si="57"/>
        <v>107.88534496</v>
      </c>
      <c r="F78" s="94">
        <f t="shared" si="57"/>
        <v>116.99487873000001</v>
      </c>
      <c r="G78" s="94">
        <f t="shared" si="57"/>
        <v>167.20320235999998</v>
      </c>
      <c r="H78" s="94">
        <f t="shared" si="57"/>
        <v>429.73539605999997</v>
      </c>
      <c r="I78" s="94">
        <f t="shared" si="57"/>
        <v>742.85374649000005</v>
      </c>
      <c r="J78" s="94">
        <f t="shared" si="57"/>
        <v>786.66024400000003</v>
      </c>
      <c r="K78" s="94">
        <f t="shared" si="57"/>
        <v>623.56742725999993</v>
      </c>
      <c r="L78" s="94">
        <f t="shared" si="57"/>
        <v>667.91525982000007</v>
      </c>
      <c r="M78" s="94">
        <f t="shared" si="57"/>
        <v>695.51707400000009</v>
      </c>
      <c r="N78" s="116">
        <f t="shared" si="57"/>
        <v>5185.9025380699995</v>
      </c>
      <c r="P78" s="94">
        <f t="shared" si="57"/>
        <v>1226.5223080000001</v>
      </c>
      <c r="Q78" s="94">
        <f t="shared" si="57"/>
        <v>1231.5821338400001</v>
      </c>
      <c r="R78" s="94">
        <f t="shared" si="57"/>
        <v>1721.9218276000001</v>
      </c>
      <c r="S78" s="94">
        <f t="shared" si="57"/>
        <v>1418.8265951600001</v>
      </c>
      <c r="T78" s="94">
        <f t="shared" si="57"/>
        <v>1398.06837741</v>
      </c>
      <c r="U78" s="116">
        <f t="shared" si="57"/>
        <v>6996.9212420099993</v>
      </c>
      <c r="W78" s="94">
        <f t="shared" si="57"/>
        <v>1675.6381930200002</v>
      </c>
      <c r="X78" s="94">
        <f t="shared" si="57"/>
        <v>1505.2184069099999</v>
      </c>
      <c r="Y78" s="94">
        <f t="shared" si="57"/>
        <v>1594.9165361124999</v>
      </c>
      <c r="Z78" s="94">
        <f t="shared" si="57"/>
        <v>1995.8166677600002</v>
      </c>
      <c r="AA78" s="94">
        <f t="shared" si="57"/>
        <v>1944.6856767058161</v>
      </c>
      <c r="AB78" s="116">
        <f t="shared" si="57"/>
        <v>8716.275480508315</v>
      </c>
      <c r="AD78" s="94">
        <f t="shared" ref="AD78" si="58">SUM(AD73:AD76)</f>
        <v>79.46940668000002</v>
      </c>
      <c r="AF78" s="116">
        <f t="shared" si="57"/>
        <v>20978.568667268319</v>
      </c>
      <c r="AG78" s="13"/>
      <c r="AH78" s="124">
        <f t="shared" ref="AH78:AI78" si="59">SUM(AH73:AH76)</f>
        <v>351.07957633000001</v>
      </c>
      <c r="AI78" s="126">
        <f t="shared" si="59"/>
        <v>3065.1966948499999</v>
      </c>
      <c r="AJ78" s="126">
        <f>SUM(AH78:AI78)</f>
        <v>3416.2762711799996</v>
      </c>
      <c r="AL78" s="116">
        <f>SUM(AF78,AJ78)</f>
        <v>24394.844938448317</v>
      </c>
    </row>
    <row r="79" spans="1:38" x14ac:dyDescent="0.2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P79" s="28"/>
      <c r="Q79" s="28"/>
      <c r="R79" s="28"/>
      <c r="S79" s="28"/>
      <c r="T79" s="28"/>
      <c r="U79" s="28"/>
      <c r="W79" s="28"/>
      <c r="X79" s="28"/>
      <c r="Y79" s="28"/>
      <c r="Z79" s="28"/>
      <c r="AA79" s="28"/>
      <c r="AB79" s="28"/>
      <c r="AD79" s="28"/>
      <c r="AF79" s="28"/>
    </row>
    <row r="80" spans="1:38" ht="14.25" customHeight="1" x14ac:dyDescent="0.2">
      <c r="A80" s="29" t="s">
        <v>57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P80" s="28"/>
      <c r="Q80" s="28"/>
      <c r="R80" s="28"/>
      <c r="S80" s="28"/>
      <c r="T80" s="28"/>
      <c r="U80" s="28"/>
      <c r="W80" s="28"/>
      <c r="X80" s="28"/>
      <c r="Y80" s="28"/>
      <c r="Z80" s="28"/>
      <c r="AA80" s="28"/>
      <c r="AB80" s="28"/>
      <c r="AD80" s="28"/>
      <c r="AF80" s="28"/>
      <c r="AG80" s="28"/>
      <c r="AH80" s="13"/>
      <c r="AI80" s="13"/>
      <c r="AJ80" s="13"/>
    </row>
    <row r="81" spans="1:38" ht="30" customHeight="1" x14ac:dyDescent="0.2">
      <c r="A81" s="140" t="s">
        <v>73</v>
      </c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</row>
    <row r="82" spans="1:38" ht="18.75" customHeight="1" x14ac:dyDescent="0.2">
      <c r="A82" s="29" t="s">
        <v>70</v>
      </c>
      <c r="L82" s="4"/>
      <c r="M82" s="4"/>
      <c r="N82" s="4"/>
      <c r="P82" s="4"/>
      <c r="Q82" s="4"/>
      <c r="R82" s="4"/>
      <c r="S82" s="4"/>
      <c r="T82" s="4"/>
      <c r="U82" s="4"/>
      <c r="W82" s="4"/>
      <c r="X82" s="4"/>
      <c r="Y82" s="4"/>
      <c r="Z82" s="4"/>
      <c r="AA82" s="4"/>
      <c r="AB82" s="4"/>
      <c r="AD82" s="4"/>
    </row>
    <row r="83" spans="1:38" ht="45.75" customHeight="1" x14ac:dyDescent="0.2">
      <c r="A83" s="141" t="s">
        <v>72</v>
      </c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</row>
    <row r="84" spans="1:38" ht="20.25" customHeight="1" x14ac:dyDescent="0.2">
      <c r="A84" s="29" t="s">
        <v>58</v>
      </c>
    </row>
    <row r="87" spans="1:38" ht="42" customHeight="1" x14ac:dyDescent="0.35">
      <c r="A87" s="36" t="s">
        <v>42</v>
      </c>
    </row>
    <row r="88" spans="1:38" ht="15.75" x14ac:dyDescent="0.25">
      <c r="A88" s="2" t="s">
        <v>75</v>
      </c>
      <c r="P88" s="1"/>
      <c r="Q88" s="1"/>
      <c r="R88" s="1"/>
      <c r="S88" s="1"/>
      <c r="T88" s="1"/>
      <c r="W88" s="1"/>
      <c r="X88" s="1"/>
      <c r="Y88" s="1"/>
      <c r="Z88" s="1"/>
      <c r="AA88" s="1"/>
      <c r="AD88" s="1"/>
    </row>
    <row r="89" spans="1:38" ht="15.75" x14ac:dyDescent="0.25">
      <c r="A89" s="3" t="s">
        <v>1</v>
      </c>
      <c r="C89" s="4"/>
      <c r="D89" s="4"/>
      <c r="E89" s="4"/>
      <c r="F89" s="4"/>
      <c r="G89" s="4"/>
      <c r="H89" s="4"/>
      <c r="I89" s="4"/>
      <c r="J89" s="4"/>
    </row>
    <row r="90" spans="1:38" ht="13.5" thickBot="1" x14ac:dyDescent="0.25"/>
    <row r="91" spans="1:38" ht="30.75" thickBot="1" x14ac:dyDescent="0.3">
      <c r="A91" s="5"/>
      <c r="C91" s="6">
        <v>2000</v>
      </c>
      <c r="D91" s="6">
        <v>2001</v>
      </c>
      <c r="E91" s="6">
        <v>2002</v>
      </c>
      <c r="F91" s="6">
        <v>2003</v>
      </c>
      <c r="G91" s="6">
        <v>2004</v>
      </c>
      <c r="H91" s="7">
        <v>2005</v>
      </c>
      <c r="I91" s="8">
        <v>2006</v>
      </c>
      <c r="J91" s="7">
        <v>2007</v>
      </c>
      <c r="K91" s="8">
        <v>2008</v>
      </c>
      <c r="L91" s="7">
        <v>2009</v>
      </c>
      <c r="M91" s="7">
        <v>2010</v>
      </c>
      <c r="N91" s="49" t="s">
        <v>59</v>
      </c>
      <c r="P91" s="7">
        <v>2011</v>
      </c>
      <c r="Q91" s="7">
        <v>2012</v>
      </c>
      <c r="R91" s="7">
        <v>2013</v>
      </c>
      <c r="S91" s="7">
        <v>2014</v>
      </c>
      <c r="T91" s="7">
        <v>2015</v>
      </c>
      <c r="U91" s="49" t="s">
        <v>60</v>
      </c>
      <c r="W91" s="7">
        <v>2016</v>
      </c>
      <c r="X91" s="7">
        <v>2017</v>
      </c>
      <c r="Y91" s="7">
        <v>2018</v>
      </c>
      <c r="Z91" s="7">
        <v>2019</v>
      </c>
      <c r="AA91" s="7">
        <v>2020</v>
      </c>
      <c r="AB91" s="49" t="s">
        <v>61</v>
      </c>
      <c r="AD91"/>
      <c r="AF91" s="50" t="s">
        <v>62</v>
      </c>
    </row>
    <row r="92" spans="1:38" ht="13.5" thickBot="1" x14ac:dyDescent="0.25">
      <c r="A92" s="11" t="s">
        <v>17</v>
      </c>
      <c r="C92" s="51"/>
      <c r="D92" s="60"/>
      <c r="E92" s="60"/>
      <c r="F92" s="60"/>
      <c r="G92" s="60"/>
      <c r="H92" s="61"/>
      <c r="I92" s="57"/>
      <c r="J92" s="66"/>
      <c r="K92" s="58"/>
      <c r="L92" s="57"/>
      <c r="M92" s="57"/>
      <c r="N92" s="102"/>
      <c r="P92" s="57"/>
      <c r="Q92" s="59"/>
      <c r="R92" s="59"/>
      <c r="S92" s="59">
        <v>30.742000000000001</v>
      </c>
      <c r="T92" s="59">
        <v>24.263000000000002</v>
      </c>
      <c r="U92" s="102">
        <f t="shared" ref="U92:U93" si="60">SUM(P92:T92)</f>
        <v>55.005000000000003</v>
      </c>
      <c r="W92" s="59">
        <v>22.976890000000001</v>
      </c>
      <c r="X92" s="59">
        <v>22.191076850000002</v>
      </c>
      <c r="Y92" s="59">
        <v>24.479173379999999</v>
      </c>
      <c r="Z92" s="59">
        <v>22.397200000000002</v>
      </c>
      <c r="AA92" s="59"/>
      <c r="AB92" s="102">
        <f t="shared" ref="AB92:AB93" si="61">SUM(W92:AA92)</f>
        <v>92.044340229999989</v>
      </c>
      <c r="AD92"/>
      <c r="AF92" s="112">
        <f t="shared" ref="AF92:AF93" si="62">SUM(AB92,U92,N92)</f>
        <v>147.04934022999998</v>
      </c>
    </row>
    <row r="93" spans="1:38" ht="13.5" thickBot="1" x14ac:dyDescent="0.25">
      <c r="A93" s="34" t="s">
        <v>25</v>
      </c>
      <c r="C93" s="51"/>
      <c r="D93" s="60"/>
      <c r="E93" s="60"/>
      <c r="F93" s="60"/>
      <c r="G93" s="60"/>
      <c r="H93" s="61"/>
      <c r="I93" s="57"/>
      <c r="J93" s="66"/>
      <c r="K93" s="58"/>
      <c r="L93" s="57"/>
      <c r="M93" s="57"/>
      <c r="N93" s="104"/>
      <c r="P93" s="57"/>
      <c r="Q93" s="59"/>
      <c r="R93" s="59"/>
      <c r="S93" s="59"/>
      <c r="T93" s="59">
        <v>4.7321999999999997</v>
      </c>
      <c r="U93" s="104">
        <f t="shared" si="60"/>
        <v>4.7321999999999997</v>
      </c>
      <c r="W93" s="59">
        <v>18.600539999999999</v>
      </c>
      <c r="X93" s="59">
        <v>11.45331</v>
      </c>
      <c r="Y93" s="59">
        <v>5.2708399999999997</v>
      </c>
      <c r="Z93" s="59"/>
      <c r="AA93" s="59"/>
      <c r="AB93" s="104">
        <f t="shared" si="61"/>
        <v>35.324689999999997</v>
      </c>
      <c r="AD93"/>
      <c r="AF93" s="112">
        <f t="shared" si="62"/>
        <v>40.056889999999996</v>
      </c>
    </row>
    <row r="94" spans="1:38" ht="13.5" thickBot="1" x14ac:dyDescent="0.25">
      <c r="A94" s="16" t="s">
        <v>27</v>
      </c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117"/>
      <c r="P94" s="77"/>
      <c r="Q94" s="77"/>
      <c r="R94" s="77"/>
      <c r="S94" s="77">
        <f t="shared" ref="S94:AF94" si="63">SUM(S92:S93)</f>
        <v>30.742000000000001</v>
      </c>
      <c r="T94" s="77">
        <f t="shared" si="63"/>
        <v>28.995200000000001</v>
      </c>
      <c r="U94" s="105">
        <f t="shared" si="63"/>
        <v>59.737200000000001</v>
      </c>
      <c r="W94" s="77">
        <f t="shared" si="63"/>
        <v>41.57743</v>
      </c>
      <c r="X94" s="77">
        <f t="shared" si="63"/>
        <v>33.644386850000004</v>
      </c>
      <c r="Y94" s="77">
        <f t="shared" si="63"/>
        <v>29.750013379999999</v>
      </c>
      <c r="Z94" s="77">
        <f t="shared" si="63"/>
        <v>22.397200000000002</v>
      </c>
      <c r="AA94" s="77">
        <f t="shared" si="63"/>
        <v>0</v>
      </c>
      <c r="AB94" s="105">
        <f t="shared" si="63"/>
        <v>127.36903022999999</v>
      </c>
      <c r="AD94"/>
      <c r="AF94" s="117">
        <f t="shared" si="63"/>
        <v>187.10623022999999</v>
      </c>
    </row>
    <row r="95" spans="1:38" ht="13.5" thickBot="1" x14ac:dyDescent="0.2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P95" s="4"/>
      <c r="Q95" s="4"/>
      <c r="R95" s="4"/>
      <c r="S95" s="4"/>
      <c r="T95" s="4"/>
      <c r="W95" s="4"/>
      <c r="X95" s="4"/>
      <c r="Y95" s="4"/>
      <c r="Z95" s="4"/>
      <c r="AA95" s="4"/>
      <c r="AD95"/>
    </row>
    <row r="96" spans="1:38" s="41" customFormat="1" ht="13.5" thickBot="1" x14ac:dyDescent="0.25">
      <c r="A96" s="35" t="s">
        <v>29</v>
      </c>
      <c r="B96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102"/>
      <c r="O96"/>
      <c r="P96" s="96"/>
      <c r="Q96" s="96"/>
      <c r="R96" s="96"/>
      <c r="S96" s="96"/>
      <c r="T96" s="97">
        <v>105</v>
      </c>
      <c r="U96" s="102">
        <f t="shared" ref="U96" si="64">SUM(P96:T96)</f>
        <v>105</v>
      </c>
      <c r="V96"/>
      <c r="W96" s="97">
        <v>51.6</v>
      </c>
      <c r="X96" s="97">
        <v>40</v>
      </c>
      <c r="Y96" s="97">
        <v>44.6</v>
      </c>
      <c r="Z96" s="97"/>
      <c r="AA96" s="97"/>
      <c r="AB96" s="102">
        <f t="shared" ref="AB96" si="65">SUM(W96:AA96)</f>
        <v>136.19999999999999</v>
      </c>
      <c r="AC96"/>
      <c r="AD96"/>
      <c r="AE96" s="39"/>
      <c r="AF96" s="113">
        <f t="shared" ref="AF96" si="66">SUM(AB96,U96,N96)</f>
        <v>241.2</v>
      </c>
      <c r="AG96" s="43"/>
      <c r="AH96" s="39"/>
      <c r="AI96" s="39"/>
      <c r="AJ96" s="39"/>
    </row>
    <row r="97" spans="1:33" ht="13.5" thickBot="1" x14ac:dyDescent="0.25">
      <c r="A97" s="16" t="s">
        <v>39</v>
      </c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117"/>
      <c r="P97" s="90"/>
      <c r="Q97" s="90"/>
      <c r="R97" s="90"/>
      <c r="S97" s="90"/>
      <c r="T97" s="90">
        <f t="shared" ref="T97:AF97" si="67">SUM(T96)</f>
        <v>105</v>
      </c>
      <c r="U97" s="105">
        <f t="shared" si="67"/>
        <v>105</v>
      </c>
      <c r="W97" s="90">
        <f t="shared" si="67"/>
        <v>51.6</v>
      </c>
      <c r="X97" s="90">
        <f t="shared" si="67"/>
        <v>40</v>
      </c>
      <c r="Y97" s="90">
        <f t="shared" si="67"/>
        <v>44.6</v>
      </c>
      <c r="Z97" s="90">
        <f t="shared" si="67"/>
        <v>0</v>
      </c>
      <c r="AA97" s="90">
        <f t="shared" si="67"/>
        <v>0</v>
      </c>
      <c r="AB97" s="105">
        <f t="shared" si="67"/>
        <v>136.19999999999999</v>
      </c>
      <c r="AD97"/>
      <c r="AF97" s="117">
        <f t="shared" si="67"/>
        <v>241.2</v>
      </c>
      <c r="AG97" s="13"/>
    </row>
    <row r="98" spans="1:33" ht="13.5" thickBot="1" x14ac:dyDescent="0.2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P98" s="4"/>
      <c r="Q98" s="4"/>
      <c r="R98" s="4"/>
      <c r="S98" s="4"/>
      <c r="T98" s="4"/>
      <c r="W98" s="4"/>
      <c r="X98" s="4"/>
      <c r="Y98" s="4"/>
      <c r="Z98" s="4"/>
      <c r="AA98" s="4"/>
      <c r="AD98"/>
    </row>
    <row r="99" spans="1:33" ht="13.5" thickBot="1" x14ac:dyDescent="0.25">
      <c r="A99" s="27" t="s">
        <v>41</v>
      </c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116"/>
      <c r="P99" s="94"/>
      <c r="Q99" s="94"/>
      <c r="R99" s="94"/>
      <c r="S99" s="94">
        <f t="shared" ref="S99:AF99" si="68">SUM(S94,S97)</f>
        <v>30.742000000000001</v>
      </c>
      <c r="T99" s="94">
        <f t="shared" si="68"/>
        <v>133.99520000000001</v>
      </c>
      <c r="U99" s="116">
        <f t="shared" si="68"/>
        <v>164.7372</v>
      </c>
      <c r="W99" s="94">
        <f t="shared" si="68"/>
        <v>93.177430000000001</v>
      </c>
      <c r="X99" s="94">
        <f t="shared" si="68"/>
        <v>73.644386850000004</v>
      </c>
      <c r="Y99" s="94">
        <f t="shared" si="68"/>
        <v>74.350013380000007</v>
      </c>
      <c r="Z99" s="94">
        <f t="shared" si="68"/>
        <v>22.397200000000002</v>
      </c>
      <c r="AA99" s="94">
        <f t="shared" si="68"/>
        <v>0</v>
      </c>
      <c r="AB99" s="116">
        <f t="shared" si="68"/>
        <v>263.56903022999995</v>
      </c>
      <c r="AD99"/>
      <c r="AF99" s="116">
        <f t="shared" si="68"/>
        <v>428.30623022999998</v>
      </c>
    </row>
  </sheetData>
  <mergeCells count="4">
    <mergeCell ref="AL5:AL6"/>
    <mergeCell ref="A81:AL81"/>
    <mergeCell ref="A83:AL83"/>
    <mergeCell ref="AH5:AJ5"/>
  </mergeCells>
  <pageMargins left="0.31496062992125984" right="0.31496062992125984" top="0.35433070866141736" bottom="0.35433070866141736" header="0.31496062992125984" footer="0.31496062992125984"/>
  <pageSetup paperSize="9" scale="50" orientation="portrait" r:id="rId1"/>
  <headerFooter alignWithMargins="0">
    <oddHeader>&amp;L&amp;"Calibri"&amp;10&amp;K000000Classified as Internal&amp;1#</oddHeader>
  </headerFooter>
  <ignoredErrors>
    <ignoredError sqref="AB29 N29 U29 N66 U66 AB66 AB69 U69 N69" formula="1"/>
    <ignoredError sqref="AI4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706217-df7c-4bf4-936d-b09aa3b837af"/>
    <_dlc_DocId xmlns="57a992bc-bd44-4bca-8c15-5d6bcceffd31">GAVI-1705067222-949078</_dlc_DocId>
    <_dlc_DocIdUrl xmlns="57a992bc-bd44-4bca-8c15-5d6bcceffd31">
      <Url>https://gavinet.sharepoint.com/teams/fop/fin/_layouts/15/DocIdRedir.aspx?ID=GAVI-1705067222-949078</Url>
      <Description>GAVI-1705067222-949078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93cb0222-e980-4273-ad97-85dba3159c09" ContentTypeId="0x01010091DD660C2743444EACB0CAF777412263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Gavi Excel Workbook" ma:contentTypeID="0x01010091DD660C2743444EACB0CAF77741226300CD6342080A01E84CA9870E8F3E644D78" ma:contentTypeVersion="238" ma:contentTypeDescription="" ma:contentTypeScope="" ma:versionID="afa41e68dc3635fde1c9041359b2337b">
  <xsd:schema xmlns:xsd="http://www.w3.org/2001/XMLSchema" xmlns:xs="http://www.w3.org/2001/XMLSchema" xmlns:p="http://schemas.microsoft.com/office/2006/metadata/properties" xmlns:ns2="d0706217-df7c-4bf4-936d-b09aa3b837af" xmlns:ns3="57a992bc-bd44-4bca-8c15-5d6bcceffd31" targetNamespace="http://schemas.microsoft.com/office/2006/metadata/properties" ma:root="true" ma:fieldsID="6ffad984cde5fa98058814460da1d393" ns2:_="" ns3:_="">
    <xsd:import namespace="d0706217-df7c-4bf4-936d-b09aa3b837af"/>
    <xsd:import namespace="57a992bc-bd44-4bca-8c15-5d6bcceffd3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06217-df7c-4bf4-936d-b09aa3b837af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Taxonomy Catch All Column" ma:description="" ma:hidden="true" ma:list="{b12ebb60-5d4a-407c-9ab8-0b5826b57b5f}" ma:internalName="TaxCatchAll" ma:showField="CatchAllData" ma:web="57a992bc-bd44-4bca-8c15-5d6bcceffd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Taxonomy Catch All Column1" ma:description="" ma:hidden="true" ma:list="{b12ebb60-5d4a-407c-9ab8-0b5826b57b5f}" ma:internalName="TaxCatchAllLabel" ma:readOnly="true" ma:showField="CatchAllDataLabel" ma:web="57a992bc-bd44-4bca-8c15-5d6bcceffd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992bc-bd44-4bca-8c15-5d6bcceffd31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7FB11A6-D140-4432-835C-73F5F457BFA5}">
  <ds:schemaRefs>
    <ds:schemaRef ds:uri="d0706217-df7c-4bf4-936d-b09aa3b837af"/>
    <ds:schemaRef ds:uri="http://schemas.microsoft.com/office/2006/documentManagement/types"/>
    <ds:schemaRef ds:uri="57a992bc-bd44-4bca-8c15-5d6bcceffd3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3CB698-E48C-4AEA-A68D-BFB6102146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ADC4EF-CFB0-4C4F-A9FB-30BEED9253B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9FE76A9-2E16-462E-94EE-4FC350AA6E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706217-df7c-4bf4-936d-b09aa3b837af"/>
    <ds:schemaRef ds:uri="57a992bc-bd44-4bca-8c15-5d6bcceffd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24406B0-95D0-4740-A7D1-06B9443BB4F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2000-2021 Cash Receipts</vt:lpstr>
      <vt:lpstr>'2000-2021 Cash Receipts'!Print_Area</vt:lpstr>
    </vt:vector>
  </TitlesOfParts>
  <Manager/>
  <Company>Gavi Alliance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 Alliance</dc:creator>
  <cp:keywords/>
  <dc:description/>
  <cp:lastModifiedBy>Eric Godfrey</cp:lastModifiedBy>
  <cp:revision/>
  <dcterms:created xsi:type="dcterms:W3CDTF">2013-01-25T10:21:26Z</dcterms:created>
  <dcterms:modified xsi:type="dcterms:W3CDTF">2021-07-01T16:27:01Z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0x01010091DD660C2743444EACB0CAF77741226300CD6342080A01E84CA9870E8F3E644D78</vt:lpwstr>
  </property>
  <property fmtid="{D5CDD505-2E9C-101B-9397-08002B2CF9AE}" pid="3" name="Author">
    <vt:lpwstr>7;#;UserInfo</vt:lpwstr>
  </property>
  <property fmtid="{D5CDD505-2E9C-101B-9397-08002B2CF9AE}" pid="4" name="Health System Strengthening">
    <vt:lpwstr/>
  </property>
  <property fmtid="{D5CDD505-2E9C-101B-9397-08002B2CF9AE}" pid="5" name="Lang">
    <vt:lpwstr/>
  </property>
  <property fmtid="{D5CDD505-2E9C-101B-9397-08002B2CF9AE}" pid="6" name="TaxKeyword">
    <vt:lpwstr/>
  </property>
  <property fmtid="{D5CDD505-2E9C-101B-9397-08002B2CF9AE}" pid="7" name="Order">
    <vt:r8>100</vt:r8>
  </property>
  <property fmtid="{D5CDD505-2E9C-101B-9397-08002B2CF9AE}" pid="8" name="Topic">
    <vt:lpwstr/>
  </property>
  <property fmtid="{D5CDD505-2E9C-101B-9397-08002B2CF9AE}" pid="9" name="_ShortcutWebId">
    <vt:lpwstr/>
  </property>
  <property fmtid="{D5CDD505-2E9C-101B-9397-08002B2CF9AE}" pid="10" name="_ShortcutUniqueId">
    <vt:lpwstr/>
  </property>
  <property fmtid="{D5CDD505-2E9C-101B-9397-08002B2CF9AE}" pid="11" name="_ShortcutSiteId">
    <vt:lpwstr/>
  </property>
  <property fmtid="{D5CDD505-2E9C-101B-9397-08002B2CF9AE}" pid="12" name="Created">
    <vt:filetime>2013-01-25T09:21:26Z</vt:filetime>
  </property>
  <property fmtid="{D5CDD505-2E9C-101B-9397-08002B2CF9AE}" pid="13" name="Health">
    <vt:lpwstr/>
  </property>
  <property fmtid="{D5CDD505-2E9C-101B-9397-08002B2CF9AE}" pid="14" name="Stakeholder">
    <vt:lpwstr/>
  </property>
  <property fmtid="{D5CDD505-2E9C-101B-9397-08002B2CF9AE}" pid="15" name="Vaccine">
    <vt:lpwstr/>
  </property>
  <property fmtid="{D5CDD505-2E9C-101B-9397-08002B2CF9AE}" pid="16" name="Depto">
    <vt:lpwstr>944;#Finance|70c92294-fade-490c-ae2b-2f46f3fe0636</vt:lpwstr>
  </property>
  <property fmtid="{D5CDD505-2E9C-101B-9397-08002B2CF9AE}" pid="17" name="International_x0020_Development">
    <vt:lpwstr/>
  </property>
  <property fmtid="{D5CDD505-2E9C-101B-9397-08002B2CF9AE}" pid="18" name="Modified">
    <vt:filetime>2016-04-07T14:36:37Z</vt:filetime>
  </property>
  <property fmtid="{D5CDD505-2E9C-101B-9397-08002B2CF9AE}" pid="19" name="Country">
    <vt:lpwstr/>
  </property>
  <property fmtid="{D5CDD505-2E9C-101B-9397-08002B2CF9AE}" pid="20" name="Governance">
    <vt:lpwstr/>
  </property>
  <property fmtid="{D5CDD505-2E9C-101B-9397-08002B2CF9AE}" pid="21" name="Editor">
    <vt:lpwstr>8;#;UserInfo</vt:lpwstr>
  </property>
  <property fmtid="{D5CDD505-2E9C-101B-9397-08002B2CF9AE}" pid="22" name="International Development">
    <vt:lpwstr/>
  </property>
  <property fmtid="{D5CDD505-2E9C-101B-9397-08002B2CF9AE}" pid="23" name="Health_x0020_System_x0020_Strengthening">
    <vt:lpwstr/>
  </property>
  <property fmtid="{D5CDD505-2E9C-101B-9397-08002B2CF9AE}" pid="24" name="Attendees">
    <vt:lpwstr/>
  </property>
  <property fmtid="{D5CDD505-2E9C-101B-9397-08002B2CF9AE}" pid="25" name="Programme and project management">
    <vt:lpwstr/>
  </property>
  <property fmtid="{D5CDD505-2E9C-101B-9397-08002B2CF9AE}" pid="26" name="Programme_x0020_and_x0020_project_x0020_management">
    <vt:lpwstr/>
  </property>
  <property fmtid="{D5CDD505-2E9C-101B-9397-08002B2CF9AE}" pid="27" name="_ShortcutUrl">
    <vt:lpwstr/>
  </property>
  <property fmtid="{D5CDD505-2E9C-101B-9397-08002B2CF9AE}" pid="28" name="_dlc_DocIdItemGuid">
    <vt:lpwstr>4fd8b85d-2343-473a-9ca7-f9bc863c89b5</vt:lpwstr>
  </property>
  <property fmtid="{D5CDD505-2E9C-101B-9397-08002B2CF9AE}" pid="29" name="kfa83adfad8641678ddaedda80d7e126">
    <vt:lpwstr/>
  </property>
  <property fmtid="{D5CDD505-2E9C-101B-9397-08002B2CF9AE}" pid="30" name="Test">
    <vt:lpwstr/>
  </property>
  <property fmtid="{D5CDD505-2E9C-101B-9397-08002B2CF9AE}" pid="31" name="d1cc8e3ce74548b4802b698dbb551d86">
    <vt:lpwstr/>
  </property>
  <property fmtid="{D5CDD505-2E9C-101B-9397-08002B2CF9AE}" pid="32" name="AuthorIds_UIVersion_5">
    <vt:lpwstr>119</vt:lpwstr>
  </property>
  <property fmtid="{D5CDD505-2E9C-101B-9397-08002B2CF9AE}" pid="33" name="AuthorIds_UIVersion_1">
    <vt:lpwstr>119</vt:lpwstr>
  </property>
  <property fmtid="{D5CDD505-2E9C-101B-9397-08002B2CF9AE}" pid="34" name="AuthorIds_UIVersion_2">
    <vt:lpwstr>115</vt:lpwstr>
  </property>
  <property fmtid="{D5CDD505-2E9C-101B-9397-08002B2CF9AE}" pid="35" name="AuthorIds_UIVersion_4">
    <vt:lpwstr>119</vt:lpwstr>
  </property>
  <property fmtid="{D5CDD505-2E9C-101B-9397-08002B2CF9AE}" pid="36" name="Risk">
    <vt:lpwstr/>
  </property>
  <property fmtid="{D5CDD505-2E9C-101B-9397-08002B2CF9AE}" pid="37" name="da385a37dcdd43e7963145fe41f4539b">
    <vt:lpwstr/>
  </property>
  <property fmtid="{D5CDD505-2E9C-101B-9397-08002B2CF9AE}" pid="38" name="Donors and Partners">
    <vt:lpwstr/>
  </property>
  <property fmtid="{D5CDD505-2E9C-101B-9397-08002B2CF9AE}" pid="39" name="g46430f4398c4f35a5ec9f78edc038fa">
    <vt:lpwstr/>
  </property>
  <property fmtid="{D5CDD505-2E9C-101B-9397-08002B2CF9AE}" pid="40" name="Market Shaping">
    <vt:lpwstr/>
  </property>
  <property fmtid="{D5CDD505-2E9C-101B-9397-08002B2CF9AE}" pid="41" name="b71aade8ae9f44a1b207db6dd32da3e9">
    <vt:lpwstr/>
  </property>
  <property fmtid="{D5CDD505-2E9C-101B-9397-08002B2CF9AE}" pid="42" name="Strategy and Policy">
    <vt:lpwstr/>
  </property>
  <property fmtid="{D5CDD505-2E9C-101B-9397-08002B2CF9AE}" pid="43" name="e17ceaa0d61b4bfeb3c21883d9680a10">
    <vt:lpwstr/>
  </property>
  <property fmtid="{D5CDD505-2E9C-101B-9397-08002B2CF9AE}" pid="44" name="e27ceaa0d61b4bfeb3c21883d9680a10">
    <vt:lpwstr/>
  </property>
  <property fmtid="{D5CDD505-2E9C-101B-9397-08002B2CF9AE}" pid="45" name="Country Type">
    <vt:lpwstr/>
  </property>
  <property fmtid="{D5CDD505-2E9C-101B-9397-08002B2CF9AE}" pid="46" name="Document Type">
    <vt:lpwstr/>
  </property>
  <property fmtid="{D5CDD505-2E9C-101B-9397-08002B2CF9AE}" pid="47" name="Finance">
    <vt:lpwstr/>
  </property>
  <property fmtid="{D5CDD505-2E9C-101B-9397-08002B2CF9AE}" pid="48" name="p09ff1d2f026403cb92ff345796610f6">
    <vt:lpwstr/>
  </property>
  <property fmtid="{D5CDD505-2E9C-101B-9397-08002B2CF9AE}" pid="49" name="fc06a084bffd4a2cbb1b503815818f56">
    <vt:lpwstr/>
  </property>
  <property fmtid="{D5CDD505-2E9C-101B-9397-08002B2CF9AE}" pid="50" name="Language">
    <vt:lpwstr/>
  </property>
  <property fmtid="{D5CDD505-2E9C-101B-9397-08002B2CF9AE}" pid="51" name="c42a17fc557b46a5b9bcad4067cce71e">
    <vt:lpwstr/>
  </property>
  <property fmtid="{D5CDD505-2E9C-101B-9397-08002B2CF9AE}" pid="52" name="n169e2c9352346cf85f9723e82b9094d">
    <vt:lpwstr/>
  </property>
  <property fmtid="{D5CDD505-2E9C-101B-9397-08002B2CF9AE}" pid="53" name="IT Systems">
    <vt:lpwstr/>
  </property>
  <property fmtid="{D5CDD505-2E9C-101B-9397-08002B2CF9AE}" pid="54" name="Location">
    <vt:lpwstr/>
  </property>
  <property fmtid="{D5CDD505-2E9C-101B-9397-08002B2CF9AE}" pid="55" name="k22dc2e0c2174860996c8c9cbd411b1e">
    <vt:lpwstr/>
  </property>
  <property fmtid="{D5CDD505-2E9C-101B-9397-08002B2CF9AE}" pid="56" name="i37a087ac91a4078a555152c5cd63046">
    <vt:lpwstr/>
  </property>
  <property fmtid="{D5CDD505-2E9C-101B-9397-08002B2CF9AE}" pid="57" name="le9d97f3bd374b61b397133b88eb0f9d">
    <vt:lpwstr/>
  </property>
  <property fmtid="{D5CDD505-2E9C-101B-9397-08002B2CF9AE}" pid="58" name="MSIP_Label_8f5e72d3-b6ef-4c9c-b371-eb3c79f627ee_Enabled">
    <vt:lpwstr>true</vt:lpwstr>
  </property>
  <property fmtid="{D5CDD505-2E9C-101B-9397-08002B2CF9AE}" pid="59" name="MSIP_Label_8f5e72d3-b6ef-4c9c-b371-eb3c79f627ee_SetDate">
    <vt:lpwstr>2020-02-03T14:44:26Z</vt:lpwstr>
  </property>
  <property fmtid="{D5CDD505-2E9C-101B-9397-08002B2CF9AE}" pid="60" name="MSIP_Label_8f5e72d3-b6ef-4c9c-b371-eb3c79f627ee_Method">
    <vt:lpwstr>Privileged</vt:lpwstr>
  </property>
  <property fmtid="{D5CDD505-2E9C-101B-9397-08002B2CF9AE}" pid="61" name="MSIP_Label_8f5e72d3-b6ef-4c9c-b371-eb3c79f627ee_Name">
    <vt:lpwstr>8f5e72d3-b6ef-4c9c-b371-eb3c79f627ee</vt:lpwstr>
  </property>
  <property fmtid="{D5CDD505-2E9C-101B-9397-08002B2CF9AE}" pid="62" name="MSIP_Label_8f5e72d3-b6ef-4c9c-b371-eb3c79f627ee_SiteId">
    <vt:lpwstr>1de6d9f3-0daf-4df6-b9d6-5959f16f6118</vt:lpwstr>
  </property>
  <property fmtid="{D5CDD505-2E9C-101B-9397-08002B2CF9AE}" pid="63" name="MSIP_Label_8f5e72d3-b6ef-4c9c-b371-eb3c79f627ee_ActionId">
    <vt:lpwstr>1ddb797a-1d2f-4a90-9d97-0000d07cabd8</vt:lpwstr>
  </property>
  <property fmtid="{D5CDD505-2E9C-101B-9397-08002B2CF9AE}" pid="64" name="MSIP_Label_8f5e72d3-b6ef-4c9c-b371-eb3c79f627ee_ContentBits">
    <vt:lpwstr>1</vt:lpwstr>
  </property>
  <property fmtid="{D5CDD505-2E9C-101B-9397-08002B2CF9AE}" pid="65" name="e37ceaa0d61b4bfeb3c21883d9680a10">
    <vt:lpwstr>Finance|70c92294-fade-490c-ae2b-2f46f3fe0636</vt:lpwstr>
  </property>
</Properties>
</file>