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2/Q3-Q4 2022/Sent to RM/"/>
    </mc:Choice>
  </mc:AlternateContent>
  <xr:revisionPtr revIDLastSave="0" documentId="8_{30BFA7EF-ACCA-4182-B751-09EB4BD01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00-2022 Cash Receipts" sheetId="5" r:id="rId1"/>
  </sheets>
  <definedNames>
    <definedName name="_xlnm.Print_Area" localSheetId="0">'2000-2022 Cash Receipts'!$A$1:$AH$183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0" i="5" l="1"/>
  <c r="AE123" i="5" l="1"/>
  <c r="AK25" i="5"/>
  <c r="AL25" i="5"/>
  <c r="AK42" i="5" l="1"/>
  <c r="AJ42" i="5"/>
  <c r="AK20" i="5"/>
  <c r="AM44" i="5" l="1"/>
  <c r="AF44" i="5"/>
  <c r="AB44" i="5"/>
  <c r="U44" i="5"/>
  <c r="N44" i="5"/>
  <c r="AL49" i="5"/>
  <c r="AL29" i="5"/>
  <c r="AL20" i="5"/>
  <c r="AL15" i="5"/>
  <c r="AL12" i="5"/>
  <c r="AM11" i="5"/>
  <c r="AF11" i="5"/>
  <c r="AB11" i="5"/>
  <c r="U11" i="5"/>
  <c r="N11" i="5"/>
  <c r="AL138" i="5"/>
  <c r="AM119" i="5"/>
  <c r="AF119" i="5"/>
  <c r="AB119" i="5"/>
  <c r="U119" i="5"/>
  <c r="N119" i="5"/>
  <c r="AH11" i="5" l="1"/>
  <c r="AO11" i="5" s="1"/>
  <c r="AH44" i="5"/>
  <c r="AO44" i="5" s="1"/>
  <c r="AH119" i="5"/>
  <c r="AO119" i="5" s="1"/>
  <c r="AM148" i="5"/>
  <c r="AL146" i="5"/>
  <c r="AM136" i="5"/>
  <c r="AL135" i="5"/>
  <c r="AM79" i="5"/>
  <c r="AF79" i="5"/>
  <c r="AB79" i="5"/>
  <c r="U79" i="5"/>
  <c r="N79" i="5"/>
  <c r="AL123" i="5"/>
  <c r="AL88" i="5"/>
  <c r="AL120" i="5"/>
  <c r="AM120" i="5"/>
  <c r="AF120" i="5"/>
  <c r="AB120" i="5"/>
  <c r="U120" i="5"/>
  <c r="N120" i="5"/>
  <c r="AL54" i="5"/>
  <c r="AL39" i="5"/>
  <c r="AL32" i="5"/>
  <c r="AL21" i="5"/>
  <c r="AH120" i="5" l="1"/>
  <c r="AO120" i="5" s="1"/>
  <c r="AH79" i="5"/>
  <c r="AO79" i="5" s="1"/>
  <c r="AE128" i="5" l="1"/>
  <c r="AE115" i="5"/>
  <c r="AE92" i="5" l="1"/>
  <c r="AE60" i="5"/>
  <c r="AE58" i="5"/>
  <c r="AF58" i="5" s="1"/>
  <c r="AE56" i="5"/>
  <c r="AE39" i="5"/>
  <c r="AE49" i="5"/>
  <c r="AE42" i="5"/>
  <c r="AE29" i="5"/>
  <c r="AE23" i="5"/>
  <c r="AM69" i="5"/>
  <c r="AF69" i="5"/>
  <c r="AB69" i="5"/>
  <c r="U69" i="5"/>
  <c r="N69" i="5"/>
  <c r="AM58" i="5"/>
  <c r="AB58" i="5"/>
  <c r="U58" i="5"/>
  <c r="N58" i="5"/>
  <c r="AE71" i="5"/>
  <c r="AM55" i="5"/>
  <c r="AF55" i="5"/>
  <c r="AB55" i="5"/>
  <c r="U55" i="5"/>
  <c r="N55" i="5"/>
  <c r="AM77" i="5"/>
  <c r="AF77" i="5"/>
  <c r="AB77" i="5"/>
  <c r="U77" i="5"/>
  <c r="N77" i="5"/>
  <c r="AK123" i="5"/>
  <c r="AH69" i="5" l="1"/>
  <c r="AO69" i="5" s="1"/>
  <c r="AH77" i="5"/>
  <c r="AL124" i="5"/>
  <c r="AH58" i="5"/>
  <c r="AO58" i="5" s="1"/>
  <c r="AH55" i="5"/>
  <c r="AO55" i="5" s="1"/>
  <c r="AO77" i="5"/>
  <c r="AM139" i="5" l="1"/>
  <c r="AM146" i="5"/>
  <c r="AJ152" i="5"/>
  <c r="AL143" i="5"/>
  <c r="AJ143" i="5"/>
  <c r="AK143" i="5"/>
  <c r="AM145" i="5"/>
  <c r="AM134" i="5"/>
  <c r="AL152" i="5" l="1"/>
  <c r="AM86" i="5"/>
  <c r="AF86" i="5"/>
  <c r="AB86" i="5"/>
  <c r="U86" i="5"/>
  <c r="N86" i="5"/>
  <c r="AM84" i="5"/>
  <c r="AF84" i="5"/>
  <c r="AB84" i="5"/>
  <c r="U84" i="5"/>
  <c r="N84" i="5"/>
  <c r="AH84" i="5" l="1"/>
  <c r="AO84" i="5" s="1"/>
  <c r="AH86" i="5"/>
  <c r="AO86" i="5" s="1"/>
  <c r="AM54" i="5" l="1"/>
  <c r="AL31" i="5"/>
  <c r="AM155" i="5"/>
  <c r="AM154" i="5"/>
  <c r="AM151" i="5"/>
  <c r="AM149" i="5"/>
  <c r="AM147" i="5"/>
  <c r="AM142" i="5"/>
  <c r="AM141" i="5"/>
  <c r="AM140" i="5"/>
  <c r="AM138" i="5"/>
  <c r="AM137" i="5"/>
  <c r="AM135" i="5"/>
  <c r="AM123" i="5"/>
  <c r="AM122" i="5"/>
  <c r="AM121" i="5"/>
  <c r="AM118" i="5"/>
  <c r="AM116" i="5"/>
  <c r="AM115" i="5"/>
  <c r="AM114" i="5"/>
  <c r="AM113" i="5"/>
  <c r="AM112" i="5"/>
  <c r="AM111" i="5"/>
  <c r="AM110" i="5"/>
  <c r="AM109" i="5"/>
  <c r="AM108" i="5"/>
  <c r="AM107" i="5"/>
  <c r="AM106" i="5"/>
  <c r="AM105" i="5"/>
  <c r="AM104" i="5"/>
  <c r="AM102" i="5"/>
  <c r="AM101" i="5"/>
  <c r="AM100" i="5"/>
  <c r="AM98" i="5"/>
  <c r="AM97" i="5"/>
  <c r="AM96" i="5"/>
  <c r="AM95" i="5"/>
  <c r="AM94" i="5"/>
  <c r="AM92" i="5"/>
  <c r="AM91" i="5"/>
  <c r="AM90" i="5"/>
  <c r="AM89" i="5"/>
  <c r="AM87" i="5"/>
  <c r="AM85" i="5"/>
  <c r="AM83" i="5"/>
  <c r="AM82" i="5"/>
  <c r="AM81" i="5"/>
  <c r="AM80" i="5"/>
  <c r="AM78" i="5"/>
  <c r="AM76" i="5"/>
  <c r="AM75" i="5"/>
  <c r="AM73" i="5"/>
  <c r="AM72" i="5"/>
  <c r="AM67" i="5"/>
  <c r="AM66" i="5"/>
  <c r="AM68" i="5"/>
  <c r="AM65" i="5"/>
  <c r="AM64" i="5"/>
  <c r="AM61" i="5"/>
  <c r="AM59" i="5"/>
  <c r="AM57" i="5"/>
  <c r="AM56" i="5"/>
  <c r="AM53" i="5"/>
  <c r="AM52" i="5"/>
  <c r="AM50" i="5"/>
  <c r="AM46" i="5"/>
  <c r="AM43" i="5"/>
  <c r="AM41" i="5"/>
  <c r="AM40" i="5"/>
  <c r="AM37" i="5"/>
  <c r="AM36" i="5"/>
  <c r="AM35" i="5"/>
  <c r="AM34" i="5"/>
  <c r="AM33" i="5"/>
  <c r="AM26" i="5"/>
  <c r="AM24" i="5"/>
  <c r="AM23" i="5"/>
  <c r="AM20" i="5"/>
  <c r="AM19" i="5"/>
  <c r="AM17" i="5"/>
  <c r="AM16" i="5"/>
  <c r="AM15" i="5"/>
  <c r="AM13" i="5"/>
  <c r="AM12" i="5"/>
  <c r="AM10" i="5"/>
  <c r="AM9" i="5"/>
  <c r="AL156" i="5"/>
  <c r="AF129" i="5"/>
  <c r="AF123" i="5"/>
  <c r="AF122" i="5"/>
  <c r="AF121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1" i="5"/>
  <c r="AF90" i="5"/>
  <c r="AF89" i="5"/>
  <c r="AF88" i="5"/>
  <c r="AF87" i="5"/>
  <c r="AF85" i="5"/>
  <c r="AF83" i="5"/>
  <c r="AF82" i="5"/>
  <c r="AF81" i="5"/>
  <c r="AF80" i="5"/>
  <c r="AF78" i="5"/>
  <c r="AF76" i="5"/>
  <c r="AF75" i="5"/>
  <c r="AF74" i="5"/>
  <c r="AF73" i="5"/>
  <c r="AF72" i="5"/>
  <c r="AF70" i="5"/>
  <c r="AF67" i="5"/>
  <c r="AF66" i="5"/>
  <c r="AF68" i="5"/>
  <c r="AF65" i="5"/>
  <c r="AF64" i="5"/>
  <c r="AF61" i="5"/>
  <c r="AF57" i="5"/>
  <c r="AF54" i="5"/>
  <c r="AF53" i="5"/>
  <c r="AF52" i="5"/>
  <c r="AF51" i="5"/>
  <c r="AF50" i="5"/>
  <c r="AF49" i="5"/>
  <c r="AF48" i="5"/>
  <c r="AF47" i="5"/>
  <c r="AF46" i="5"/>
  <c r="AF45" i="5"/>
  <c r="AF43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5" i="5"/>
  <c r="AF24" i="5"/>
  <c r="AF22" i="5"/>
  <c r="AF21" i="5"/>
  <c r="AF19" i="5"/>
  <c r="AF18" i="5"/>
  <c r="AF17" i="5"/>
  <c r="AF16" i="5"/>
  <c r="AF15" i="5"/>
  <c r="AF14" i="5"/>
  <c r="AF13" i="5"/>
  <c r="AF12" i="5"/>
  <c r="AF10" i="5"/>
  <c r="AF9" i="5"/>
  <c r="AF8" i="5"/>
  <c r="AF7" i="5"/>
  <c r="AE124" i="5"/>
  <c r="AE62" i="5"/>
  <c r="AK150" i="5"/>
  <c r="AM143" i="5" l="1"/>
  <c r="AM150" i="5"/>
  <c r="AM152" i="5" s="1"/>
  <c r="AK152" i="5"/>
  <c r="AL62" i="5"/>
  <c r="AL126" i="5" s="1"/>
  <c r="AM21" i="5"/>
  <c r="AE126" i="5"/>
  <c r="AE131" i="5" s="1"/>
  <c r="AB121" i="5"/>
  <c r="U121" i="5"/>
  <c r="N121" i="5"/>
  <c r="AH121" i="5" l="1"/>
  <c r="AO121" i="5" s="1"/>
  <c r="AL131" i="5"/>
  <c r="AD71" i="5"/>
  <c r="AF71" i="5" s="1"/>
  <c r="AK14" i="5"/>
  <c r="AM14" i="5" s="1"/>
  <c r="AK29" i="5"/>
  <c r="AK156" i="5"/>
  <c r="AJ156" i="5"/>
  <c r="AB122" i="5"/>
  <c r="U122" i="5"/>
  <c r="N122" i="5"/>
  <c r="AK117" i="5"/>
  <c r="AM117" i="5" s="1"/>
  <c r="AB113" i="5"/>
  <c r="U113" i="5"/>
  <c r="N113" i="5"/>
  <c r="AB114" i="5"/>
  <c r="U114" i="5"/>
  <c r="N114" i="5"/>
  <c r="AK88" i="5"/>
  <c r="AM88" i="5" s="1"/>
  <c r="AB109" i="5"/>
  <c r="U109" i="5"/>
  <c r="N109" i="5"/>
  <c r="AB80" i="5"/>
  <c r="U80" i="5"/>
  <c r="N80" i="5"/>
  <c r="AB105" i="5"/>
  <c r="U105" i="5"/>
  <c r="N105" i="5"/>
  <c r="AB107" i="5"/>
  <c r="U107" i="5"/>
  <c r="N107" i="5"/>
  <c r="AK103" i="5"/>
  <c r="AM103" i="5" s="1"/>
  <c r="AB102" i="5"/>
  <c r="U102" i="5"/>
  <c r="N102" i="5"/>
  <c r="AB98" i="5"/>
  <c r="U98" i="5"/>
  <c r="N98" i="5"/>
  <c r="AM93" i="5"/>
  <c r="AB85" i="5"/>
  <c r="U85" i="5"/>
  <c r="N85" i="5"/>
  <c r="AB83" i="5"/>
  <c r="U83" i="5"/>
  <c r="N83" i="5"/>
  <c r="AB82" i="5"/>
  <c r="U82" i="5"/>
  <c r="N82" i="5"/>
  <c r="AB87" i="5"/>
  <c r="U87" i="5"/>
  <c r="N87" i="5"/>
  <c r="AB75" i="5"/>
  <c r="U75" i="5"/>
  <c r="N75" i="5"/>
  <c r="AB78" i="5"/>
  <c r="U78" i="5"/>
  <c r="N78" i="5"/>
  <c r="AK74" i="5"/>
  <c r="AM74" i="5" s="1"/>
  <c r="AB74" i="5"/>
  <c r="U74" i="5"/>
  <c r="N74" i="5"/>
  <c r="AB73" i="5"/>
  <c r="U73" i="5"/>
  <c r="N73" i="5"/>
  <c r="AB72" i="5"/>
  <c r="U72" i="5"/>
  <c r="N72" i="5"/>
  <c r="AB76" i="5"/>
  <c r="U76" i="5"/>
  <c r="N76" i="5"/>
  <c r="AK71" i="5"/>
  <c r="AM71" i="5" s="1"/>
  <c r="AB65" i="5"/>
  <c r="U65" i="5"/>
  <c r="N65" i="5"/>
  <c r="AH98" i="5" l="1"/>
  <c r="AO98" i="5" s="1"/>
  <c r="AH107" i="5"/>
  <c r="AO107" i="5" s="1"/>
  <c r="AH72" i="5"/>
  <c r="AH85" i="5"/>
  <c r="AO85" i="5" s="1"/>
  <c r="AH102" i="5"/>
  <c r="AO102" i="5" s="1"/>
  <c r="AH80" i="5"/>
  <c r="AO80" i="5" s="1"/>
  <c r="AH65" i="5"/>
  <c r="AO65" i="5" s="1"/>
  <c r="AH75" i="5"/>
  <c r="AO75" i="5" s="1"/>
  <c r="AH122" i="5"/>
  <c r="AO122" i="5" s="1"/>
  <c r="AH105" i="5"/>
  <c r="AO105" i="5" s="1"/>
  <c r="AH109" i="5"/>
  <c r="AH82" i="5"/>
  <c r="AO82" i="5" s="1"/>
  <c r="AH73" i="5"/>
  <c r="AO73" i="5" s="1"/>
  <c r="AH113" i="5"/>
  <c r="AO113" i="5" s="1"/>
  <c r="AH114" i="5"/>
  <c r="AO114" i="5" s="1"/>
  <c r="AH74" i="5"/>
  <c r="AO74" i="5" s="1"/>
  <c r="AH76" i="5"/>
  <c r="AO76" i="5" s="1"/>
  <c r="AH78" i="5"/>
  <c r="AO78" i="5" s="1"/>
  <c r="AH87" i="5"/>
  <c r="AO87" i="5" s="1"/>
  <c r="AH83" i="5"/>
  <c r="AO83" i="5" s="1"/>
  <c r="AM156" i="5"/>
  <c r="AO109" i="5"/>
  <c r="AO72" i="5"/>
  <c r="AB68" i="5" l="1"/>
  <c r="U68" i="5"/>
  <c r="N68" i="5"/>
  <c r="AB64" i="5"/>
  <c r="U64" i="5"/>
  <c r="N64" i="5"/>
  <c r="AK60" i="5"/>
  <c r="AM60" i="5" s="1"/>
  <c r="AD60" i="5"/>
  <c r="AF60" i="5" s="1"/>
  <c r="AB60" i="5"/>
  <c r="U60" i="5"/>
  <c r="N60" i="5"/>
  <c r="AB53" i="5"/>
  <c r="U53" i="5"/>
  <c r="N53" i="5"/>
  <c r="AB106" i="5"/>
  <c r="U106" i="5"/>
  <c r="N106" i="5"/>
  <c r="AK51" i="5"/>
  <c r="AM51" i="5" s="1"/>
  <c r="AK47" i="5"/>
  <c r="AM47" i="5" s="1"/>
  <c r="AK45" i="5"/>
  <c r="AM45" i="5" s="1"/>
  <c r="AM42" i="5"/>
  <c r="AK39" i="5"/>
  <c r="AM39" i="5" s="1"/>
  <c r="AB36" i="5"/>
  <c r="U36" i="5"/>
  <c r="N36" i="5"/>
  <c r="AB37" i="5"/>
  <c r="U37" i="5"/>
  <c r="N37" i="5"/>
  <c r="AB33" i="5"/>
  <c r="U33" i="5"/>
  <c r="N33" i="5"/>
  <c r="AA35" i="5"/>
  <c r="AB34" i="5"/>
  <c r="U34" i="5"/>
  <c r="N34" i="5"/>
  <c r="AK32" i="5"/>
  <c r="AM32" i="5" s="1"/>
  <c r="AK31" i="5"/>
  <c r="AM31" i="5" s="1"/>
  <c r="AK30" i="5"/>
  <c r="AM30" i="5" s="1"/>
  <c r="AK49" i="5"/>
  <c r="AM49" i="5" s="1"/>
  <c r="AK28" i="5"/>
  <c r="AM28" i="5" s="1"/>
  <c r="AK27" i="5"/>
  <c r="AM27" i="5" s="1"/>
  <c r="AK22" i="5"/>
  <c r="AM22" i="5" s="1"/>
  <c r="AB17" i="5"/>
  <c r="U17" i="5"/>
  <c r="N17" i="5"/>
  <c r="AB9" i="5"/>
  <c r="U9" i="5"/>
  <c r="N9" i="5"/>
  <c r="AK8" i="5"/>
  <c r="AM8" i="5" s="1"/>
  <c r="AD92" i="5"/>
  <c r="AF92" i="5" s="1"/>
  <c r="AF124" i="5" s="1"/>
  <c r="AD59" i="5"/>
  <c r="AF59" i="5" s="1"/>
  <c r="AD56" i="5"/>
  <c r="AF56" i="5" s="1"/>
  <c r="AB50" i="5"/>
  <c r="U50" i="5"/>
  <c r="N50" i="5"/>
  <c r="AH34" i="5" l="1"/>
  <c r="AO34" i="5" s="1"/>
  <c r="AH64" i="5"/>
  <c r="AO64" i="5" s="1"/>
  <c r="AH9" i="5"/>
  <c r="AO9" i="5" s="1"/>
  <c r="AH37" i="5"/>
  <c r="AO37" i="5" s="1"/>
  <c r="AH50" i="5"/>
  <c r="AO50" i="5" s="1"/>
  <c r="AH53" i="5"/>
  <c r="AO53" i="5" s="1"/>
  <c r="AH36" i="5"/>
  <c r="AO36" i="5" s="1"/>
  <c r="AH106" i="5"/>
  <c r="AO106" i="5" s="1"/>
  <c r="AH60" i="5"/>
  <c r="AO60" i="5" s="1"/>
  <c r="AH17" i="5"/>
  <c r="AO17" i="5" s="1"/>
  <c r="AH33" i="5"/>
  <c r="AO33" i="5" s="1"/>
  <c r="AH68" i="5"/>
  <c r="AO68" i="5" s="1"/>
  <c r="AD42" i="5" l="1"/>
  <c r="AF42" i="5" s="1"/>
  <c r="AD26" i="5"/>
  <c r="AF26" i="5" s="1"/>
  <c r="AD23" i="5"/>
  <c r="AF23" i="5" s="1"/>
  <c r="AD20" i="5"/>
  <c r="AF20" i="5" s="1"/>
  <c r="AF62" i="5" l="1"/>
  <c r="AF126" i="5" s="1"/>
  <c r="AB108" i="5" l="1"/>
  <c r="U108" i="5"/>
  <c r="N108" i="5"/>
  <c r="AH108" i="5" l="1"/>
  <c r="AO108" i="5" s="1"/>
  <c r="AB93" i="5"/>
  <c r="U93" i="5"/>
  <c r="N93" i="5"/>
  <c r="AH93" i="5" l="1"/>
  <c r="AO93" i="5" s="1"/>
  <c r="AB97" i="5"/>
  <c r="U97" i="5"/>
  <c r="N97" i="5"/>
  <c r="AH97" i="5" l="1"/>
  <c r="AO97" i="5" s="1"/>
  <c r="Z90" i="5" l="1"/>
  <c r="Y90" i="5"/>
  <c r="X90" i="5"/>
  <c r="W90" i="5"/>
  <c r="U90" i="5"/>
  <c r="N90" i="5"/>
  <c r="AB90" i="5" l="1"/>
  <c r="AH90" i="5" l="1"/>
  <c r="AO90" i="5" s="1"/>
  <c r="AK99" i="5" l="1"/>
  <c r="AM99" i="5" s="1"/>
  <c r="AB99" i="5"/>
  <c r="U99" i="5"/>
  <c r="N99" i="5"/>
  <c r="AK128" i="5"/>
  <c r="AM128" i="5" s="1"/>
  <c r="AB118" i="5"/>
  <c r="U118" i="5"/>
  <c r="N118" i="5"/>
  <c r="AB117" i="5"/>
  <c r="U117" i="5"/>
  <c r="N117" i="5"/>
  <c r="AB112" i="5"/>
  <c r="U112" i="5"/>
  <c r="N112" i="5"/>
  <c r="AB103" i="5"/>
  <c r="U103" i="5"/>
  <c r="N103" i="5"/>
  <c r="AB96" i="5"/>
  <c r="U96" i="5"/>
  <c r="N96" i="5"/>
  <c r="AB94" i="5"/>
  <c r="U94" i="5"/>
  <c r="N94" i="5"/>
  <c r="AB88" i="5"/>
  <c r="U88" i="5"/>
  <c r="N88" i="5"/>
  <c r="AK70" i="5"/>
  <c r="AM70" i="5" s="1"/>
  <c r="AB70" i="5"/>
  <c r="U70" i="5"/>
  <c r="N70" i="5"/>
  <c r="AH88" i="5" l="1"/>
  <c r="AO88" i="5" s="1"/>
  <c r="AH118" i="5"/>
  <c r="AO118" i="5" s="1"/>
  <c r="AH96" i="5"/>
  <c r="AO96" i="5" s="1"/>
  <c r="AH112" i="5"/>
  <c r="AO112" i="5" s="1"/>
  <c r="AH70" i="5"/>
  <c r="AH94" i="5"/>
  <c r="AO94" i="5" s="1"/>
  <c r="AH117" i="5"/>
  <c r="AO117" i="5" s="1"/>
  <c r="AH99" i="5"/>
  <c r="AO99" i="5" s="1"/>
  <c r="AH103" i="5"/>
  <c r="AO103" i="5" s="1"/>
  <c r="AK124" i="5"/>
  <c r="AO70" i="5" l="1"/>
  <c r="AK48" i="5"/>
  <c r="AM48" i="5" s="1"/>
  <c r="AB46" i="5"/>
  <c r="U46" i="5"/>
  <c r="N46" i="5"/>
  <c r="AB31" i="5"/>
  <c r="U31" i="5"/>
  <c r="N31" i="5"/>
  <c r="AM25" i="5"/>
  <c r="AB24" i="5"/>
  <c r="U24" i="5"/>
  <c r="N24" i="5"/>
  <c r="AK18" i="5"/>
  <c r="AM18" i="5" s="1"/>
  <c r="AB10" i="5"/>
  <c r="U10" i="5"/>
  <c r="N10" i="5"/>
  <c r="AK7" i="5"/>
  <c r="AM7" i="5" s="1"/>
  <c r="AD128" i="5"/>
  <c r="AF128" i="5" s="1"/>
  <c r="AF131" i="5" s="1"/>
  <c r="AB47" i="5"/>
  <c r="U47" i="5"/>
  <c r="N47" i="5"/>
  <c r="AB12" i="5"/>
  <c r="U12" i="5"/>
  <c r="N12" i="5"/>
  <c r="AH31" i="5" l="1"/>
  <c r="AO31" i="5" s="1"/>
  <c r="AH47" i="5"/>
  <c r="AO47" i="5" s="1"/>
  <c r="AH24" i="5"/>
  <c r="AO24" i="5" s="1"/>
  <c r="AH12" i="5"/>
  <c r="AO12" i="5" s="1"/>
  <c r="AH46" i="5"/>
  <c r="AO46" i="5" s="1"/>
  <c r="AH10" i="5"/>
  <c r="AO10" i="5" s="1"/>
  <c r="AK62" i="5"/>
  <c r="AB52" i="5" l="1"/>
  <c r="U52" i="5"/>
  <c r="N52" i="5"/>
  <c r="AB91" i="5"/>
  <c r="U91" i="5"/>
  <c r="N91" i="5"/>
  <c r="AB45" i="5"/>
  <c r="U45" i="5"/>
  <c r="N45" i="5"/>
  <c r="AB110" i="5"/>
  <c r="U110" i="5"/>
  <c r="N110" i="5"/>
  <c r="AB13" i="5"/>
  <c r="U13" i="5"/>
  <c r="N13" i="5"/>
  <c r="AB41" i="5"/>
  <c r="U41" i="5"/>
  <c r="N41" i="5"/>
  <c r="AH41" i="5" l="1"/>
  <c r="AO41" i="5" s="1"/>
  <c r="AH91" i="5"/>
  <c r="AO91" i="5" s="1"/>
  <c r="AH110" i="5"/>
  <c r="AO110" i="5" s="1"/>
  <c r="AH13" i="5"/>
  <c r="AO13" i="5" s="1"/>
  <c r="AH45" i="5"/>
  <c r="AO45" i="5" s="1"/>
  <c r="AH52" i="5"/>
  <c r="AO52" i="5" s="1"/>
  <c r="AK126" i="5"/>
  <c r="AK131" i="5" s="1"/>
  <c r="AB8" i="5" l="1"/>
  <c r="U8" i="5"/>
  <c r="N8" i="5"/>
  <c r="AH8" i="5" l="1"/>
  <c r="AO8" i="5" s="1"/>
  <c r="AM124" i="5"/>
  <c r="AD124" i="5"/>
  <c r="AJ29" i="5"/>
  <c r="AM29" i="5" s="1"/>
  <c r="AA29" i="5"/>
  <c r="AD62" i="5" l="1"/>
  <c r="AD126" i="5" s="1"/>
  <c r="AD131" i="5" s="1"/>
  <c r="AB116" i="5"/>
  <c r="U116" i="5"/>
  <c r="N116" i="5"/>
  <c r="AH116" i="5" l="1"/>
  <c r="AO116" i="5" s="1"/>
  <c r="AA38" i="5"/>
  <c r="AB104" i="5" l="1"/>
  <c r="U104" i="5"/>
  <c r="N104" i="5"/>
  <c r="AH104" i="5" l="1"/>
  <c r="AO104" i="5" s="1"/>
  <c r="AB40" i="5"/>
  <c r="U40" i="5"/>
  <c r="N40" i="5"/>
  <c r="AJ38" i="5"/>
  <c r="AH40" i="5" l="1"/>
  <c r="AO40" i="5" s="1"/>
  <c r="AM38" i="5"/>
  <c r="AM62" i="5" s="1"/>
  <c r="AM126" i="5" s="1"/>
  <c r="AB111" i="5" l="1"/>
  <c r="U111" i="5"/>
  <c r="N111" i="5"/>
  <c r="AH111" i="5" l="1"/>
  <c r="AO111" i="5" s="1"/>
  <c r="AB19" i="5"/>
  <c r="U19" i="5"/>
  <c r="N19" i="5"/>
  <c r="AA128" i="5"/>
  <c r="AA129" i="5"/>
  <c r="AA57" i="5"/>
  <c r="AA51" i="5"/>
  <c r="AA39" i="5"/>
  <c r="AH19" i="5" l="1"/>
  <c r="AO19" i="5" s="1"/>
  <c r="AA115" i="5" l="1"/>
  <c r="AA92" i="5"/>
  <c r="AA71" i="5"/>
  <c r="AA23" i="5"/>
  <c r="AB21" i="5"/>
  <c r="U21" i="5"/>
  <c r="N21" i="5"/>
  <c r="AA7" i="5"/>
  <c r="AA67" i="5"/>
  <c r="AH21" i="5" l="1"/>
  <c r="AO21" i="5" s="1"/>
  <c r="AB180" i="5" l="1"/>
  <c r="U180" i="5"/>
  <c r="U181" i="5" s="1"/>
  <c r="AB177" i="5"/>
  <c r="AB176" i="5"/>
  <c r="U177" i="5"/>
  <c r="U176" i="5"/>
  <c r="AB115" i="5"/>
  <c r="AB101" i="5"/>
  <c r="AB100" i="5"/>
  <c r="AB95" i="5"/>
  <c r="AB89" i="5"/>
  <c r="AB81" i="5"/>
  <c r="AB67" i="5"/>
  <c r="AB61" i="5"/>
  <c r="AB57" i="5"/>
  <c r="AB54" i="5"/>
  <c r="AB49" i="5"/>
  <c r="AB48" i="5"/>
  <c r="AB43" i="5"/>
  <c r="AB38" i="5"/>
  <c r="AB35" i="5"/>
  <c r="AB32" i="5"/>
  <c r="AB30" i="5"/>
  <c r="AB28" i="5"/>
  <c r="AB27" i="5"/>
  <c r="AB25" i="5"/>
  <c r="AB22" i="5"/>
  <c r="AB18" i="5"/>
  <c r="AB16" i="5"/>
  <c r="AB15" i="5"/>
  <c r="U128" i="5"/>
  <c r="U123" i="5"/>
  <c r="U115" i="5"/>
  <c r="U101" i="5"/>
  <c r="U100" i="5"/>
  <c r="U95" i="5"/>
  <c r="U89" i="5"/>
  <c r="U67" i="5"/>
  <c r="U66" i="5"/>
  <c r="U61" i="5"/>
  <c r="U57" i="5"/>
  <c r="U56" i="5"/>
  <c r="U54" i="5"/>
  <c r="U51" i="5"/>
  <c r="U49" i="5"/>
  <c r="U48" i="5"/>
  <c r="U43" i="5"/>
  <c r="U39" i="5"/>
  <c r="U38" i="5"/>
  <c r="U35" i="5"/>
  <c r="U32" i="5"/>
  <c r="U30" i="5"/>
  <c r="U29" i="5"/>
  <c r="U28" i="5"/>
  <c r="U27" i="5"/>
  <c r="U25" i="5"/>
  <c r="U22" i="5"/>
  <c r="U20" i="5"/>
  <c r="U18" i="5"/>
  <c r="U16" i="5"/>
  <c r="U15" i="5"/>
  <c r="N129" i="5"/>
  <c r="N128" i="5"/>
  <c r="N123" i="5"/>
  <c r="N115" i="5"/>
  <c r="N101" i="5"/>
  <c r="N100" i="5"/>
  <c r="N95" i="5"/>
  <c r="N92" i="5"/>
  <c r="N89" i="5"/>
  <c r="N81" i="5"/>
  <c r="N71" i="5"/>
  <c r="N67" i="5"/>
  <c r="N66" i="5"/>
  <c r="N61" i="5"/>
  <c r="N59" i="5"/>
  <c r="N57" i="5"/>
  <c r="N56" i="5"/>
  <c r="N54" i="5"/>
  <c r="N51" i="5"/>
  <c r="N49" i="5"/>
  <c r="N48" i="5"/>
  <c r="N43" i="5"/>
  <c r="N42" i="5"/>
  <c r="N39" i="5"/>
  <c r="N38" i="5"/>
  <c r="N35" i="5"/>
  <c r="N32" i="5"/>
  <c r="N30" i="5"/>
  <c r="N29" i="5"/>
  <c r="N28" i="5"/>
  <c r="N27" i="5"/>
  <c r="N26" i="5"/>
  <c r="N25" i="5"/>
  <c r="N23" i="5"/>
  <c r="N22" i="5"/>
  <c r="N20" i="5"/>
  <c r="N18" i="5"/>
  <c r="N16" i="5"/>
  <c r="N15" i="5"/>
  <c r="N14" i="5"/>
  <c r="N7" i="5"/>
  <c r="AH15" i="5" l="1"/>
  <c r="AO15" i="5" s="1"/>
  <c r="AH16" i="5"/>
  <c r="AO16" i="5" s="1"/>
  <c r="AH35" i="5"/>
  <c r="AO35" i="5" s="1"/>
  <c r="AH32" i="5"/>
  <c r="AO32" i="5" s="1"/>
  <c r="AH18" i="5"/>
  <c r="AO18" i="5" s="1"/>
  <c r="AH61" i="5"/>
  <c r="AO61" i="5" s="1"/>
  <c r="AH100" i="5"/>
  <c r="AO100" i="5" s="1"/>
  <c r="AH49" i="5"/>
  <c r="AO49" i="5" s="1"/>
  <c r="AH28" i="5"/>
  <c r="AO28" i="5" s="1"/>
  <c r="AH54" i="5"/>
  <c r="AO54" i="5" s="1"/>
  <c r="AH101" i="5"/>
  <c r="AO101" i="5" s="1"/>
  <c r="AH27" i="5"/>
  <c r="AO27" i="5" s="1"/>
  <c r="AH30" i="5"/>
  <c r="AO30" i="5" s="1"/>
  <c r="AH57" i="5"/>
  <c r="AO57" i="5" s="1"/>
  <c r="AH115" i="5"/>
  <c r="AO115" i="5" s="1"/>
  <c r="AH38" i="5"/>
  <c r="AO38" i="5" s="1"/>
  <c r="AH22" i="5"/>
  <c r="AO22" i="5" s="1"/>
  <c r="AH43" i="5"/>
  <c r="AO43" i="5" s="1"/>
  <c r="AH89" i="5"/>
  <c r="AO89" i="5" s="1"/>
  <c r="AH67" i="5"/>
  <c r="AO67" i="5" s="1"/>
  <c r="AH25" i="5"/>
  <c r="AO25" i="5" s="1"/>
  <c r="AH48" i="5"/>
  <c r="AO48" i="5" s="1"/>
  <c r="AH95" i="5"/>
  <c r="AO95" i="5" s="1"/>
  <c r="U178" i="5"/>
  <c r="U183" i="5" s="1"/>
  <c r="AH180" i="5"/>
  <c r="N124" i="5"/>
  <c r="AH177" i="5"/>
  <c r="N62" i="5"/>
  <c r="AH176" i="5"/>
  <c r="AB181" i="5"/>
  <c r="AB178" i="5"/>
  <c r="N126" i="5" l="1"/>
  <c r="N131" i="5" s="1"/>
  <c r="AB183" i="5"/>
  <c r="AA181" i="5"/>
  <c r="Z181" i="5"/>
  <c r="Y181" i="5"/>
  <c r="X181" i="5"/>
  <c r="W181" i="5"/>
  <c r="T181" i="5"/>
  <c r="AH181" i="5"/>
  <c r="AA178" i="5"/>
  <c r="Z178" i="5"/>
  <c r="Y178" i="5"/>
  <c r="X178" i="5"/>
  <c r="W178" i="5"/>
  <c r="T178" i="5"/>
  <c r="S178" i="5"/>
  <c r="S183" i="5" s="1"/>
  <c r="Z129" i="5"/>
  <c r="Y129" i="5"/>
  <c r="X129" i="5"/>
  <c r="W129" i="5"/>
  <c r="T129" i="5"/>
  <c r="S129" i="5"/>
  <c r="P129" i="5"/>
  <c r="Z128" i="5"/>
  <c r="AB128" i="5" s="1"/>
  <c r="AJ124" i="5"/>
  <c r="AA124" i="5"/>
  <c r="R124" i="5"/>
  <c r="Q124" i="5"/>
  <c r="P124" i="5"/>
  <c r="M124" i="5"/>
  <c r="L124" i="5"/>
  <c r="K124" i="5"/>
  <c r="J124" i="5"/>
  <c r="I124" i="5"/>
  <c r="H124" i="5"/>
  <c r="G124" i="5"/>
  <c r="F124" i="5"/>
  <c r="E124" i="5"/>
  <c r="D124" i="5"/>
  <c r="C124" i="5"/>
  <c r="Z92" i="5"/>
  <c r="Y92" i="5"/>
  <c r="X92" i="5"/>
  <c r="W92" i="5"/>
  <c r="T92" i="5"/>
  <c r="S92" i="5"/>
  <c r="S81" i="5"/>
  <c r="U81" i="5" s="1"/>
  <c r="AH81" i="5" s="1"/>
  <c r="Z71" i="5"/>
  <c r="Y71" i="5"/>
  <c r="X71" i="5"/>
  <c r="W71" i="5"/>
  <c r="S71" i="5"/>
  <c r="U71" i="5" s="1"/>
  <c r="Z66" i="5"/>
  <c r="AB66" i="5" s="1"/>
  <c r="AJ62" i="5"/>
  <c r="W62" i="5"/>
  <c r="R62" i="5"/>
  <c r="Q62" i="5"/>
  <c r="P62" i="5"/>
  <c r="M62" i="5"/>
  <c r="L62" i="5"/>
  <c r="K62" i="5"/>
  <c r="J62" i="5"/>
  <c r="I62" i="5"/>
  <c r="H62" i="5"/>
  <c r="G62" i="5"/>
  <c r="F62" i="5"/>
  <c r="E62" i="5"/>
  <c r="D62" i="5"/>
  <c r="C62" i="5"/>
  <c r="Y59" i="5"/>
  <c r="AB59" i="5" s="1"/>
  <c r="T59" i="5"/>
  <c r="Z56" i="5"/>
  <c r="AB56" i="5" s="1"/>
  <c r="AH56" i="5" s="1"/>
  <c r="Z51" i="5"/>
  <c r="Y51" i="5"/>
  <c r="X51" i="5"/>
  <c r="Z42" i="5"/>
  <c r="Y42" i="5"/>
  <c r="X42" i="5"/>
  <c r="S42" i="5"/>
  <c r="Z39" i="5"/>
  <c r="Y39" i="5"/>
  <c r="X39" i="5"/>
  <c r="AA62" i="5"/>
  <c r="Z29" i="5"/>
  <c r="Y29" i="5"/>
  <c r="X29" i="5"/>
  <c r="Z26" i="5"/>
  <c r="AB26" i="5" s="1"/>
  <c r="S26" i="5"/>
  <c r="Z23" i="5"/>
  <c r="Y23" i="5"/>
  <c r="X23" i="5"/>
  <c r="T23" i="5"/>
  <c r="S23" i="5"/>
  <c r="Z20" i="5"/>
  <c r="Y20" i="5"/>
  <c r="X14" i="5"/>
  <c r="AB14" i="5" s="1"/>
  <c r="S14" i="5"/>
  <c r="U14" i="5" s="1"/>
  <c r="Z7" i="5"/>
  <c r="X7" i="5"/>
  <c r="S7" i="5"/>
  <c r="AH14" i="5" l="1"/>
  <c r="AO14" i="5" s="1"/>
  <c r="AH128" i="5"/>
  <c r="AO128" i="5" s="1"/>
  <c r="AH66" i="5"/>
  <c r="AO66" i="5" s="1"/>
  <c r="U23" i="5"/>
  <c r="U92" i="5"/>
  <c r="AO56" i="5"/>
  <c r="AO81" i="5"/>
  <c r="Y124" i="5"/>
  <c r="AB92" i="5"/>
  <c r="AB51" i="5"/>
  <c r="F126" i="5"/>
  <c r="F131" i="5" s="1"/>
  <c r="P126" i="5"/>
  <c r="P131" i="5" s="1"/>
  <c r="X183" i="5"/>
  <c r="U129" i="5"/>
  <c r="AB42" i="5"/>
  <c r="X124" i="5"/>
  <c r="AJ126" i="5"/>
  <c r="AJ131" i="5" s="1"/>
  <c r="AB123" i="5"/>
  <c r="AH123" i="5" s="1"/>
  <c r="Y62" i="5"/>
  <c r="AB20" i="5"/>
  <c r="AH20" i="5" s="1"/>
  <c r="U26" i="5"/>
  <c r="U42" i="5"/>
  <c r="S62" i="5"/>
  <c r="U7" i="5"/>
  <c r="Z62" i="5"/>
  <c r="X62" i="5"/>
  <c r="AB7" i="5"/>
  <c r="U59" i="5"/>
  <c r="T62" i="5"/>
  <c r="AB129" i="5"/>
  <c r="AH129" i="5" s="1"/>
  <c r="Y183" i="5"/>
  <c r="AB23" i="5"/>
  <c r="S124" i="5"/>
  <c r="W124" i="5"/>
  <c r="W126" i="5" s="1"/>
  <c r="W131" i="5" s="1"/>
  <c r="AB71" i="5"/>
  <c r="AH71" i="5" s="1"/>
  <c r="AB29" i="5"/>
  <c r="AH29" i="5" s="1"/>
  <c r="AB39" i="5"/>
  <c r="AH39" i="5" s="1"/>
  <c r="T124" i="5"/>
  <c r="AA126" i="5"/>
  <c r="AA131" i="5" s="1"/>
  <c r="W183" i="5"/>
  <c r="AH178" i="5"/>
  <c r="AH183" i="5" s="1"/>
  <c r="AA183" i="5"/>
  <c r="J126" i="5"/>
  <c r="J131" i="5" s="1"/>
  <c r="M126" i="5"/>
  <c r="M131" i="5" s="1"/>
  <c r="T183" i="5"/>
  <c r="Z183" i="5"/>
  <c r="K126" i="5"/>
  <c r="K131" i="5" s="1"/>
  <c r="C126" i="5"/>
  <c r="C131" i="5" s="1"/>
  <c r="G126" i="5"/>
  <c r="G131" i="5" s="1"/>
  <c r="Q126" i="5"/>
  <c r="Q131" i="5" s="1"/>
  <c r="L126" i="5"/>
  <c r="L131" i="5" s="1"/>
  <c r="H126" i="5"/>
  <c r="H131" i="5" s="1"/>
  <c r="R126" i="5"/>
  <c r="R131" i="5" s="1"/>
  <c r="D126" i="5"/>
  <c r="D131" i="5" s="1"/>
  <c r="I126" i="5"/>
  <c r="I131" i="5" s="1"/>
  <c r="E126" i="5"/>
  <c r="E131" i="5" s="1"/>
  <c r="Z124" i="5"/>
  <c r="AM131" i="5" l="1"/>
  <c r="AH23" i="5"/>
  <c r="AO23" i="5" s="1"/>
  <c r="AH42" i="5"/>
  <c r="AO42" i="5" s="1"/>
  <c r="AH7" i="5"/>
  <c r="AO7" i="5" s="1"/>
  <c r="AH92" i="5"/>
  <c r="AO92" i="5" s="1"/>
  <c r="AH26" i="5"/>
  <c r="AO26" i="5" s="1"/>
  <c r="AH59" i="5"/>
  <c r="AO59" i="5" s="1"/>
  <c r="AH51" i="5"/>
  <c r="AO51" i="5" s="1"/>
  <c r="Y126" i="5"/>
  <c r="Y131" i="5" s="1"/>
  <c r="AO129" i="5"/>
  <c r="AO71" i="5"/>
  <c r="AO123" i="5"/>
  <c r="AO29" i="5"/>
  <c r="AO39" i="5"/>
  <c r="AO20" i="5"/>
  <c r="T126" i="5"/>
  <c r="T131" i="5" s="1"/>
  <c r="U124" i="5"/>
  <c r="Z126" i="5"/>
  <c r="Z131" i="5" s="1"/>
  <c r="X126" i="5"/>
  <c r="X131" i="5" s="1"/>
  <c r="AB124" i="5"/>
  <c r="AB62" i="5"/>
  <c r="U62" i="5"/>
  <c r="S126" i="5"/>
  <c r="S131" i="5" s="1"/>
  <c r="AH62" i="5" l="1"/>
  <c r="AO124" i="5"/>
  <c r="AH124" i="5"/>
  <c r="U126" i="5"/>
  <c r="U131" i="5" s="1"/>
  <c r="AO62" i="5"/>
  <c r="AB126" i="5"/>
  <c r="AB131" i="5" s="1"/>
  <c r="AO126" i="5" l="1"/>
  <c r="AH126" i="5"/>
  <c r="AH131" i="5" s="1"/>
  <c r="AO131" i="5" s="1"/>
</calcChain>
</file>

<file path=xl/sharedStrings.xml><?xml version="1.0" encoding="utf-8"?>
<sst xmlns="http://schemas.openxmlformats.org/spreadsheetml/2006/main" count="177" uniqueCount="151">
  <si>
    <t>Cash Received by Gavi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</si>
  <si>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</si>
  <si>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</si>
  <si>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</si>
  <si>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</si>
  <si>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</si>
  <si>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</si>
  <si>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</si>
  <si>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2021-2022 TOTAL</t>
  </si>
  <si>
    <t>GRAND TOTAL</t>
  </si>
  <si>
    <t>TOTAL</t>
  </si>
  <si>
    <t>Austria</t>
  </si>
  <si>
    <t>Bahrain</t>
  </si>
  <si>
    <t>Belgium</t>
  </si>
  <si>
    <t>Bhutan</t>
  </si>
  <si>
    <t>Burkina Faso</t>
  </si>
  <si>
    <t>Canada</t>
  </si>
  <si>
    <t>Colombia</t>
  </si>
  <si>
    <t>Croatia</t>
  </si>
  <si>
    <t>Denmark</t>
  </si>
  <si>
    <t>Estonia</t>
  </si>
  <si>
    <t>Finland</t>
  </si>
  <si>
    <t>France</t>
  </si>
  <si>
    <t>Germany</t>
  </si>
  <si>
    <t>Greece</t>
  </si>
  <si>
    <t>India</t>
  </si>
  <si>
    <t>Ireland</t>
  </si>
  <si>
    <t>Italy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</si>
  <si>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</si>
  <si>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</si>
  <si>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</si>
  <si>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</si>
  <si>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</si>
  <si>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</si>
  <si>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</si>
  <si>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</si>
  <si>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Monaco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</si>
  <si>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</si>
  <si>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</si>
  <si>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</si>
  <si>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</si>
  <si>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</si>
  <si>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</si>
  <si>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</si>
  <si>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</si>
  <si>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</si>
  <si>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Russia</t>
  </si>
  <si>
    <t>Saudi Arabia</t>
  </si>
  <si>
    <t>Singapore</t>
  </si>
  <si>
    <t>Slovenia</t>
  </si>
  <si>
    <t>Stadt Zug</t>
  </si>
  <si>
    <t xml:space="preserve">Sweden </t>
  </si>
  <si>
    <t>Switzerland</t>
  </si>
  <si>
    <t>Uganda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</si>
  <si>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</si>
  <si>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</si>
  <si>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</si>
  <si>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</si>
  <si>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</si>
  <si>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</si>
  <si>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Al Ansari Exchange</t>
  </si>
  <si>
    <t>Alwaleed Philanthropies</t>
  </si>
  <si>
    <t>Analog Devices Foundation</t>
  </si>
  <si>
    <t>Arm Limited</t>
  </si>
  <si>
    <t>Asia Philanthropy Circle</t>
  </si>
  <si>
    <t>Bill &amp; Melinda Gates Foundation</t>
  </si>
  <si>
    <t>BlackBerry</t>
  </si>
  <si>
    <t>Centene Charitable Foundation</t>
  </si>
  <si>
    <t>Charities Trust</t>
  </si>
  <si>
    <t>Cisco</t>
  </si>
  <si>
    <t>Coca-Cola Foundation</t>
  </si>
  <si>
    <t>CODE(RED) Campaign</t>
  </si>
  <si>
    <t>Collins Aerospace (Goodrich Corporation)</t>
  </si>
  <si>
    <t>Dolby Laboratories Charitable Fund</t>
  </si>
  <si>
    <t>ELMA Vaccines and Immunization Foundation</t>
  </si>
  <si>
    <t>Epiroc AB</t>
  </si>
  <si>
    <t>Etsy</t>
  </si>
  <si>
    <t>Gamers Without Borders</t>
  </si>
  <si>
    <t>Gates Philanthropy Partners</t>
  </si>
  <si>
    <t>Kerk in Actie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</si>
  <si>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</si>
  <si>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</si>
  <si>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</si>
  <si>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</si>
  <si>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</si>
  <si>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</si>
  <si>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</si>
  <si>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</si>
  <si>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</si>
  <si>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</si>
  <si>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</si>
  <si>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</si>
  <si>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</si>
  <si>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</si>
  <si>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</si>
  <si>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</si>
  <si>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Shell International B.V.</t>
  </si>
  <si>
    <t>SMBC Aviation Capital Limited</t>
  </si>
  <si>
    <t>Sovereign Order of Malta</t>
  </si>
  <si>
    <t>Spotify</t>
  </si>
  <si>
    <t>Stanley Black &amp; Decker</t>
  </si>
  <si>
    <t>Symasia Foundation</t>
  </si>
  <si>
    <t>Thistledown Foundation</t>
  </si>
  <si>
    <t>TikTok</t>
  </si>
  <si>
    <t>Twilio</t>
  </si>
  <si>
    <t>UBS Optimus Foundation</t>
  </si>
  <si>
    <t>UPS</t>
  </si>
  <si>
    <t>Vaccine Forward Initiative</t>
  </si>
  <si>
    <t>Visa Foundation</t>
  </si>
  <si>
    <t>Wise</t>
  </si>
  <si>
    <t>Workday Foundation</t>
  </si>
  <si>
    <t>Foundations, organisations, corporations and institutions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</si>
  <si>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</si>
  <si>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</si>
  <si>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</si>
  <si>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</si>
  <si>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</si>
  <si>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t>Notes: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</si>
  <si>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</si>
  <si>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</si>
  <si>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Proceeds, as of 31 December 2022</t>
  </si>
  <si>
    <t>WHO Foundation - Go Give One Campaign</t>
  </si>
  <si>
    <t>Croda Foundation</t>
  </si>
  <si>
    <t>European Commission</t>
  </si>
  <si>
    <t>Wellcome Trust</t>
  </si>
  <si>
    <r>
      <t>Australia</t>
    </r>
    <r>
      <rPr>
        <vertAlign val="superscript"/>
        <sz val="10"/>
        <rFont val="Arial"/>
        <family val="2"/>
      </rPr>
      <t>1</t>
    </r>
  </si>
  <si>
    <r>
      <t>Brazil</t>
    </r>
    <r>
      <rPr>
        <vertAlign val="superscript"/>
        <sz val="10"/>
        <rFont val="Arial"/>
        <family val="2"/>
      </rPr>
      <t>1</t>
    </r>
  </si>
  <si>
    <r>
      <t>China</t>
    </r>
    <r>
      <rPr>
        <vertAlign val="superscript"/>
        <sz val="10"/>
        <rFont val="Arial"/>
        <family val="2"/>
      </rPr>
      <t>1</t>
    </r>
  </si>
  <si>
    <r>
      <t>European Commission (EC)</t>
    </r>
    <r>
      <rPr>
        <vertAlign val="superscript"/>
        <sz val="10"/>
        <rFont val="Arial"/>
        <family val="2"/>
      </rPr>
      <t>1</t>
    </r>
  </si>
  <si>
    <r>
      <t>Iceland</t>
    </r>
    <r>
      <rPr>
        <vertAlign val="superscript"/>
        <sz val="10"/>
        <rFont val="Arial"/>
        <family val="2"/>
      </rPr>
      <t>1</t>
    </r>
  </si>
  <si>
    <r>
      <t>Japan</t>
    </r>
    <r>
      <rPr>
        <vertAlign val="superscript"/>
        <sz val="10"/>
        <rFont val="Arial"/>
        <family val="2"/>
      </rPr>
      <t>1</t>
    </r>
  </si>
  <si>
    <r>
      <t>Norway</t>
    </r>
    <r>
      <rPr>
        <vertAlign val="superscript"/>
        <sz val="10"/>
        <rFont val="Arial"/>
        <family val="2"/>
      </rPr>
      <t>1</t>
    </r>
  </si>
  <si>
    <r>
      <t>Palau</t>
    </r>
    <r>
      <rPr>
        <vertAlign val="superscript"/>
        <sz val="10"/>
        <rFont val="Arial"/>
        <family val="2"/>
      </rPr>
      <t>1</t>
    </r>
  </si>
  <si>
    <r>
      <t>Republic of Korea</t>
    </r>
    <r>
      <rPr>
        <vertAlign val="superscript"/>
        <sz val="10"/>
        <rFont val="Arial"/>
        <family val="2"/>
      </rPr>
      <t>1</t>
    </r>
  </si>
  <si>
    <r>
      <t>Spain</t>
    </r>
    <r>
      <rPr>
        <vertAlign val="superscript"/>
        <sz val="10"/>
        <rFont val="Arial"/>
        <family val="2"/>
      </rPr>
      <t>2</t>
    </r>
  </si>
  <si>
    <r>
      <t>United Kingdom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</si>
  <si>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3</t>
    </r>
  </si>
  <si>
    <r>
      <t>Toyota Tsusho</t>
    </r>
    <r>
      <rPr>
        <vertAlign val="superscript"/>
        <sz val="10"/>
        <rFont val="Arial"/>
        <family val="2"/>
      </rPr>
      <t>4</t>
    </r>
  </si>
  <si>
    <r>
      <t>Unilever</t>
    </r>
    <r>
      <rPr>
        <vertAlign val="superscript"/>
        <sz val="10"/>
        <rFont val="Arial"/>
        <family val="2"/>
      </rPr>
      <t>5</t>
    </r>
  </si>
  <si>
    <r>
      <t>Other private</t>
    </r>
    <r>
      <rPr>
        <vertAlign val="superscript"/>
        <sz val="10"/>
        <rFont val="Arial"/>
        <family val="2"/>
      </rPr>
      <t>6</t>
    </r>
  </si>
  <si>
    <r>
      <t>IFFIm Proceeds</t>
    </r>
    <r>
      <rPr>
        <b/>
        <vertAlign val="superscript"/>
        <sz val="10"/>
        <rFont val="Arial"/>
        <family val="2"/>
      </rPr>
      <t>7,8</t>
    </r>
  </si>
  <si>
    <r>
      <t>PCV AMC Proceeds</t>
    </r>
    <r>
      <rPr>
        <b/>
        <vertAlign val="superscript"/>
        <sz val="10"/>
        <rFont val="Arial"/>
        <family val="2"/>
      </rPr>
      <t>9</t>
    </r>
  </si>
  <si>
    <t>1 - Contribution amounts include cash donations to the COVAX facility from funds remaining from SFP commitments and/or dose sharing activities</t>
  </si>
  <si>
    <t>2 - Includes contributions from the Basque Agency for Development Cooperation and the Catalan Agency for Development Cooperation</t>
  </si>
  <si>
    <t>4 -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</si>
  <si>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5 - Unilever provides resources to Gavi on a leveraged partnership project</t>
  </si>
  <si>
    <t>6 - Includes contributions from other private sector corporations, foundations, individuals, institutions and organisations</t>
  </si>
  <si>
    <t>7 - IFFIm Proceeds:  cash disbursements from the World Bank: to the GFA (2006-2012), to Gavi (2013-2022)</t>
  </si>
  <si>
    <t>8 -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</si>
  <si>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9 - AMC Proceeds: cash transfers from the World Bank to Gavi</t>
  </si>
  <si>
    <t>3 - Mastercard has contributed: (i) US$15 million to support the COVAX AMC with a US$ 15 million grant for the purchase of COVID-19 vaccines, US$ 10 million of which was matched, by the Bill &amp; Melinda Gates Foundation (US$ 2 million) and Gates Philanthropy Partners (US$ 8 million); and (ii) a US$ 10 million cash contribution to support the implementation of digital solutions to Gavi Core programs (no match). In addition, Mastercard conducted a consumer-based fundraising campaign through its donation platform that raised a total of US$ 2.5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</si>
</sst>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168" fontId="0" fillId="2" borderId="13" xfId="1" applyNumberFormat="1" applyFont="1" applyFill="1" applyBorder="1" applyAlignment="1">
      <alignment vertical="center"/>
    </xf>
    <xf numFmtId="172" fontId="21" fillId="0" borderId="0" xfId="0" applyNumberFormat="1" applyFont="1"/>
    <xf numFmtId="0" fontId="21" fillId="0" borderId="0" xfId="0" applyFont="1"/>
    <xf numFmtId="41" fontId="0" fillId="0" borderId="0" xfId="0" applyNumberFormat="1"/>
    <xf numFmtId="0" fontId="22" fillId="0" borderId="0" xfId="0" applyFont="1"/>
    <xf numFmtId="171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1" fontId="7" fillId="5" borderId="30" xfId="0" applyNumberFormat="1" applyFont="1" applyFill="1" applyBorder="1" applyAlignment="1">
      <alignment horizontal="right" vertical="center"/>
    </xf>
    <xf numFmtId="41" fontId="7" fillId="5" borderId="31" xfId="0" applyNumberFormat="1" applyFont="1" applyFill="1" applyBorder="1" applyAlignment="1">
      <alignment horizontal="right" vertical="center"/>
    </xf>
    <xf numFmtId="41" fontId="7" fillId="5" borderId="29" xfId="0" applyNumberFormat="1" applyFont="1" applyFill="1" applyBorder="1" applyAlignment="1">
      <alignment horizontal="right" vertical="center"/>
    </xf>
    <xf numFmtId="41" fontId="6" fillId="6" borderId="32" xfId="0" applyNumberFormat="1" applyFont="1" applyFill="1" applyBorder="1" applyAlignment="1">
      <alignment horizontal="right" vertical="center"/>
    </xf>
    <xf numFmtId="43" fontId="0" fillId="0" borderId="0" xfId="0" applyNumberFormat="1"/>
    <xf numFmtId="41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left" vertical="center"/>
    </xf>
    <xf numFmtId="41" fontId="7" fillId="5" borderId="25" xfId="0" applyNumberFormat="1" applyFont="1" applyFill="1" applyBorder="1" applyAlignment="1">
      <alignment horizontal="right" vertical="center"/>
    </xf>
    <xf numFmtId="41" fontId="7" fillId="5" borderId="26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Q183"/>
  <sheetViews>
    <sheetView showGridLines="0" tabSelected="1" zoomScale="80" zoomScaleNormal="8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1" width="8.7109375" customWidth="1" outlineLevel="1"/>
    <col min="32" max="32" width="13.140625" customWidth="1"/>
    <col min="33" max="33" width="2.5703125" customWidth="1"/>
    <col min="34" max="34" width="13.42578125" customWidth="1"/>
    <col min="35" max="35" width="4.42578125" customWidth="1"/>
    <col min="36" max="38" width="8.7109375" customWidth="1"/>
    <col min="39" max="39" width="13.140625" customWidth="1"/>
    <col min="40" max="40" width="2.5703125" customWidth="1"/>
    <col min="41" max="41" width="13.42578125" customWidth="1"/>
    <col min="42" max="42" width="2.7109375" customWidth="1"/>
    <col min="43" max="43" width="13.28515625" bestFit="1" customWidth="1"/>
    <col min="44" max="44" width="12.7109375" bestFit="1" customWidth="1"/>
  </cols>
  <sheetData>
    <row r="1" spans="1:41" ht="70.5" customHeight="1" x14ac:dyDescent="0.2"/>
    <row r="2" spans="1:41" ht="23.25" customHeight="1" x14ac:dyDescent="0.45">
      <c r="A2" s="28" t="s">
        <v>0</v>
      </c>
      <c r="P2" s="1"/>
      <c r="Q2" s="1"/>
      <c r="R2" s="1"/>
      <c r="S2" s="1"/>
      <c r="T2" s="1"/>
      <c r="U2" s="1"/>
      <c r="W2" s="1"/>
      <c r="Y2" s="1"/>
      <c r="Z2" s="1"/>
      <c r="AA2" s="1"/>
      <c r="AB2" s="1"/>
      <c r="AD2" s="24"/>
      <c r="AE2" s="1"/>
      <c r="AF2" s="1"/>
    </row>
    <row r="3" spans="1:41" ht="15.75" x14ac:dyDescent="0.25">
      <c r="A3" s="2" t="s">
        <v>120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  <c r="AK3" s="126"/>
    </row>
    <row r="4" spans="1:41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1"/>
      <c r="X4" s="11"/>
      <c r="Y4" s="11"/>
      <c r="Z4" s="11"/>
      <c r="AA4" s="11"/>
    </row>
    <row r="5" spans="1:41" ht="33" customHeight="1" thickBot="1" x14ac:dyDescent="0.3">
      <c r="A5" s="31"/>
      <c r="C5" s="4"/>
      <c r="D5" s="4"/>
      <c r="E5" s="4"/>
      <c r="F5" s="4"/>
      <c r="G5" s="4"/>
      <c r="H5" s="4"/>
      <c r="I5" s="4"/>
      <c r="J5" s="4"/>
      <c r="AJ5" s="142" t="s">
        <v>2</v>
      </c>
      <c r="AK5" s="143"/>
      <c r="AL5" s="143"/>
      <c r="AM5" s="144"/>
      <c r="AO5" s="139" t="s">
        <v>3</v>
      </c>
    </row>
    <row r="6" spans="1:41" ht="30.75" thickBot="1" x14ac:dyDescent="0.25">
      <c r="A6" s="39" t="s">
        <v>4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0" t="s">
        <v>5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0" t="s">
        <v>6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0" t="s">
        <v>7</v>
      </c>
      <c r="AD6" s="7">
        <v>2021</v>
      </c>
      <c r="AE6" s="7">
        <v>2022</v>
      </c>
      <c r="AF6" s="40" t="s">
        <v>8</v>
      </c>
      <c r="AH6" s="41" t="s">
        <v>9</v>
      </c>
      <c r="AJ6" s="111">
        <v>2020</v>
      </c>
      <c r="AK6" s="127">
        <v>2021</v>
      </c>
      <c r="AL6" s="128">
        <v>2022</v>
      </c>
      <c r="AM6" s="116" t="s">
        <v>10</v>
      </c>
      <c r="AO6" s="140"/>
    </row>
    <row r="7" spans="1:41" ht="15" thickBot="1" x14ac:dyDescent="0.25">
      <c r="A7" s="135" t="s">
        <v>125</v>
      </c>
      <c r="C7" s="42"/>
      <c r="D7" s="42"/>
      <c r="E7" s="42"/>
      <c r="F7" s="42"/>
      <c r="G7" s="42"/>
      <c r="H7" s="43"/>
      <c r="I7" s="43">
        <v>5</v>
      </c>
      <c r="J7" s="44">
        <v>5</v>
      </c>
      <c r="K7" s="45">
        <v>5</v>
      </c>
      <c r="L7" s="43">
        <v>5</v>
      </c>
      <c r="M7" s="43">
        <v>8.6</v>
      </c>
      <c r="N7" s="82">
        <f>SUM(C7:M7)</f>
        <v>28.6</v>
      </c>
      <c r="P7" s="43">
        <v>48.844000000000001</v>
      </c>
      <c r="Q7" s="43">
        <v>56.485500000000002</v>
      </c>
      <c r="R7" s="43">
        <v>48.277250000000002</v>
      </c>
      <c r="S7" s="43">
        <f>45.79575+42.825</f>
        <v>88.620750000000001</v>
      </c>
      <c r="T7" s="43"/>
      <c r="U7" s="82">
        <f>SUM(P7:T7)</f>
        <v>242.22750000000002</v>
      </c>
      <c r="W7" s="43">
        <v>37.579124999999998</v>
      </c>
      <c r="X7" s="43">
        <f>1.852+13.65175</f>
        <v>15.50375</v>
      </c>
      <c r="Y7" s="43"/>
      <c r="Z7" s="43">
        <f>22.31575+20.4070375+24.071875</f>
        <v>66.794662500000001</v>
      </c>
      <c r="AA7" s="43">
        <f>7.665+29.44425</f>
        <v>37.109250000000003</v>
      </c>
      <c r="AB7" s="82">
        <f>SUM(W7:AA7)</f>
        <v>156.98678749999999</v>
      </c>
      <c r="AD7" s="43">
        <v>20.913</v>
      </c>
      <c r="AE7" s="43"/>
      <c r="AF7" s="82">
        <f>SUM(AD7:AE7)</f>
        <v>20.913</v>
      </c>
      <c r="AH7" s="90">
        <f>SUM(AB7,U7,N7,AF7)</f>
        <v>448.72728750000005</v>
      </c>
      <c r="AI7" s="32"/>
      <c r="AJ7" s="105">
        <v>28.511231739999999</v>
      </c>
      <c r="AK7" s="129">
        <f>1.90273211+3.09078161</f>
        <v>4.9935137200000002</v>
      </c>
      <c r="AL7" s="136">
        <v>56.088769999999997</v>
      </c>
      <c r="AM7" s="112">
        <f>SUM(AJ7:AL7)</f>
        <v>89.593515459999992</v>
      </c>
      <c r="AO7" s="90">
        <f>SUM(AH7,AM7)</f>
        <v>538.32080296000004</v>
      </c>
    </row>
    <row r="8" spans="1:41" ht="13.5" thickBot="1" x14ac:dyDescent="0.25">
      <c r="A8" s="27" t="s">
        <v>11</v>
      </c>
      <c r="C8" s="42"/>
      <c r="D8" s="49"/>
      <c r="E8" s="42"/>
      <c r="F8" s="42"/>
      <c r="G8" s="49"/>
      <c r="H8" s="46"/>
      <c r="I8" s="42"/>
      <c r="J8" s="42"/>
      <c r="K8" s="47"/>
      <c r="L8" s="42"/>
      <c r="M8" s="42"/>
      <c r="N8" s="83">
        <f t="shared" ref="N8:N12" si="0">SUM(C8:M8)</f>
        <v>0</v>
      </c>
      <c r="P8" s="42"/>
      <c r="Q8" s="48"/>
      <c r="R8" s="48"/>
      <c r="S8" s="48"/>
      <c r="T8" s="48"/>
      <c r="U8" s="83">
        <f t="shared" ref="U8:U12" si="1">SUM(P8:T8)</f>
        <v>0</v>
      </c>
      <c r="W8" s="48"/>
      <c r="X8" s="48"/>
      <c r="Y8" s="48"/>
      <c r="Z8" s="48"/>
      <c r="AA8" s="48"/>
      <c r="AB8" s="83">
        <f t="shared" ref="AB8:AB12" si="2">SUM(W8:AA8)</f>
        <v>0</v>
      </c>
      <c r="AD8" s="48"/>
      <c r="AE8" s="48"/>
      <c r="AF8" s="83">
        <f t="shared" ref="AF8:AF61" si="3">SUM(AD8:AE8)</f>
        <v>0</v>
      </c>
      <c r="AH8" s="91">
        <f t="shared" ref="AH8:AH61" si="4">SUM(AB8,U8,N8,AF8)</f>
        <v>0</v>
      </c>
      <c r="AI8" s="32"/>
      <c r="AJ8" s="106"/>
      <c r="AK8" s="130">
        <f>2.83512+2.94775+2.82975</f>
        <v>8.6126199999999997</v>
      </c>
      <c r="AL8" s="137"/>
      <c r="AM8" s="113">
        <f t="shared" ref="AM8:AM61" si="5">SUM(AJ8:AL8)</f>
        <v>8.6126199999999997</v>
      </c>
      <c r="AO8" s="91">
        <f t="shared" ref="AO8:AO61" si="6">SUM(AH8,AM8)</f>
        <v>8.6126199999999997</v>
      </c>
    </row>
    <row r="9" spans="1:41" ht="13.5" thickBot="1" x14ac:dyDescent="0.25">
      <c r="A9" s="27" t="s">
        <v>12</v>
      </c>
      <c r="C9" s="42"/>
      <c r="D9" s="49"/>
      <c r="E9" s="42"/>
      <c r="F9" s="42"/>
      <c r="G9" s="49"/>
      <c r="H9" s="46"/>
      <c r="I9" s="42"/>
      <c r="J9" s="42"/>
      <c r="K9" s="47"/>
      <c r="L9" s="42"/>
      <c r="M9" s="42"/>
      <c r="N9" s="83">
        <f t="shared" ref="N9" si="7">SUM(C9:M9)</f>
        <v>0</v>
      </c>
      <c r="P9" s="42"/>
      <c r="Q9" s="48"/>
      <c r="R9" s="48"/>
      <c r="S9" s="48"/>
      <c r="T9" s="48"/>
      <c r="U9" s="83">
        <f t="shared" ref="U9" si="8">SUM(P9:T9)</f>
        <v>0</v>
      </c>
      <c r="W9" s="48"/>
      <c r="X9" s="48"/>
      <c r="Y9" s="48"/>
      <c r="Z9" s="48"/>
      <c r="AA9" s="48"/>
      <c r="AB9" s="83">
        <f t="shared" ref="AB9" si="9">SUM(W9:AA9)</f>
        <v>0</v>
      </c>
      <c r="AD9" s="48"/>
      <c r="AE9" s="48"/>
      <c r="AF9" s="83">
        <f t="shared" si="3"/>
        <v>0</v>
      </c>
      <c r="AH9" s="91">
        <f t="shared" si="4"/>
        <v>0</v>
      </c>
      <c r="AI9" s="32"/>
      <c r="AJ9" s="106"/>
      <c r="AK9" s="130">
        <v>2.5</v>
      </c>
      <c r="AL9" s="137"/>
      <c r="AM9" s="113">
        <f t="shared" si="5"/>
        <v>2.5</v>
      </c>
      <c r="AO9" s="91">
        <f t="shared" ref="AO9" si="10">SUM(AH9,AM9)</f>
        <v>2.5</v>
      </c>
    </row>
    <row r="10" spans="1:41" ht="13.5" thickBot="1" x14ac:dyDescent="0.25">
      <c r="A10" s="27" t="s">
        <v>13</v>
      </c>
      <c r="C10" s="42"/>
      <c r="D10" s="49"/>
      <c r="E10" s="42"/>
      <c r="F10" s="42"/>
      <c r="G10" s="49"/>
      <c r="H10" s="46"/>
      <c r="I10" s="42"/>
      <c r="J10" s="42"/>
      <c r="K10" s="47"/>
      <c r="L10" s="42"/>
      <c r="M10" s="42"/>
      <c r="N10" s="83">
        <f t="shared" ref="N10:N11" si="11">SUM(C10:M10)</f>
        <v>0</v>
      </c>
      <c r="P10" s="42"/>
      <c r="Q10" s="48"/>
      <c r="R10" s="48"/>
      <c r="S10" s="48"/>
      <c r="T10" s="48"/>
      <c r="U10" s="83">
        <f t="shared" ref="U10:U11" si="12">SUM(P10:T10)</f>
        <v>0</v>
      </c>
      <c r="W10" s="48"/>
      <c r="X10" s="48"/>
      <c r="Y10" s="48"/>
      <c r="Z10" s="48"/>
      <c r="AA10" s="48"/>
      <c r="AB10" s="83">
        <f t="shared" ref="AB10:AB11" si="13">SUM(W10:AA10)</f>
        <v>0</v>
      </c>
      <c r="AD10" s="48"/>
      <c r="AE10" s="48"/>
      <c r="AF10" s="83">
        <f t="shared" si="3"/>
        <v>0</v>
      </c>
      <c r="AH10" s="91">
        <f t="shared" si="4"/>
        <v>0</v>
      </c>
      <c r="AI10" s="32"/>
      <c r="AJ10" s="106"/>
      <c r="AK10" s="130">
        <v>4.8844000000000003</v>
      </c>
      <c r="AL10" s="137">
        <v>4.5464000000000002</v>
      </c>
      <c r="AM10" s="113">
        <f t="shared" si="5"/>
        <v>9.4308000000000014</v>
      </c>
      <c r="AO10" s="91">
        <f t="shared" ref="AO10:AO11" si="14">SUM(AH10,AM10)</f>
        <v>9.4308000000000014</v>
      </c>
    </row>
    <row r="11" spans="1:41" ht="13.5" thickBot="1" x14ac:dyDescent="0.25">
      <c r="A11" s="27" t="s">
        <v>14</v>
      </c>
      <c r="C11" s="42"/>
      <c r="D11" s="49"/>
      <c r="E11" s="42"/>
      <c r="F11" s="42"/>
      <c r="G11" s="49"/>
      <c r="H11" s="46"/>
      <c r="I11" s="42"/>
      <c r="J11" s="42"/>
      <c r="K11" s="47"/>
      <c r="L11" s="42"/>
      <c r="M11" s="42"/>
      <c r="N11" s="83">
        <f t="shared" si="11"/>
        <v>0</v>
      </c>
      <c r="P11" s="42"/>
      <c r="Q11" s="48"/>
      <c r="R11" s="48"/>
      <c r="S11" s="48"/>
      <c r="T11" s="48"/>
      <c r="U11" s="83">
        <f t="shared" si="12"/>
        <v>0</v>
      </c>
      <c r="W11" s="48"/>
      <c r="X11" s="48"/>
      <c r="Y11" s="48"/>
      <c r="Z11" s="48"/>
      <c r="AA11" s="48"/>
      <c r="AB11" s="83">
        <f t="shared" si="13"/>
        <v>0</v>
      </c>
      <c r="AD11" s="48"/>
      <c r="AE11" s="48"/>
      <c r="AF11" s="83">
        <f t="shared" ref="AF11" si="15">SUM(AD11:AE11)</f>
        <v>0</v>
      </c>
      <c r="AH11" s="91">
        <f t="shared" ref="AH11" si="16">SUM(AB11,U11,N11,AF11)</f>
        <v>0</v>
      </c>
      <c r="AI11" s="32"/>
      <c r="AJ11" s="106"/>
      <c r="AK11" s="130">
        <v>5.0000000000000001E-3</v>
      </c>
      <c r="AL11" s="137"/>
      <c r="AM11" s="113">
        <f t="shared" ref="AM11" si="17">SUM(AJ11:AL11)</f>
        <v>5.0000000000000001E-3</v>
      </c>
      <c r="AO11" s="91">
        <f t="shared" si="14"/>
        <v>5.0000000000000001E-3</v>
      </c>
    </row>
    <row r="12" spans="1:41" ht="15" thickBot="1" x14ac:dyDescent="0.25">
      <c r="A12" s="27" t="s">
        <v>126</v>
      </c>
      <c r="C12" s="42"/>
      <c r="D12" s="49"/>
      <c r="E12" s="42"/>
      <c r="F12" s="42"/>
      <c r="G12" s="49"/>
      <c r="H12" s="46"/>
      <c r="I12" s="42"/>
      <c r="J12" s="42"/>
      <c r="K12" s="47"/>
      <c r="L12" s="42"/>
      <c r="M12" s="42"/>
      <c r="N12" s="83">
        <f t="shared" si="0"/>
        <v>0</v>
      </c>
      <c r="P12" s="42"/>
      <c r="Q12" s="48"/>
      <c r="R12" s="48"/>
      <c r="S12" s="48"/>
      <c r="T12" s="48"/>
      <c r="U12" s="83">
        <f t="shared" si="1"/>
        <v>0</v>
      </c>
      <c r="W12" s="48"/>
      <c r="X12" s="48"/>
      <c r="Y12" s="48"/>
      <c r="Z12" s="48"/>
      <c r="AA12" s="48"/>
      <c r="AB12" s="83">
        <f t="shared" si="2"/>
        <v>0</v>
      </c>
      <c r="AD12" s="48"/>
      <c r="AE12" s="48"/>
      <c r="AF12" s="83">
        <f t="shared" si="3"/>
        <v>0</v>
      </c>
      <c r="AH12" s="91">
        <f t="shared" si="4"/>
        <v>0</v>
      </c>
      <c r="AI12" s="32"/>
      <c r="AJ12" s="106"/>
      <c r="AK12" s="130"/>
      <c r="AL12" s="137">
        <f>2.30364+20.4768</f>
        <v>22.780440000000002</v>
      </c>
      <c r="AM12" s="113">
        <f t="shared" si="5"/>
        <v>22.780440000000002</v>
      </c>
      <c r="AO12" s="91">
        <f t="shared" si="6"/>
        <v>22.780440000000002</v>
      </c>
    </row>
    <row r="13" spans="1:41" ht="13.5" thickBot="1" x14ac:dyDescent="0.25">
      <c r="A13" s="27" t="s">
        <v>15</v>
      </c>
      <c r="C13" s="42"/>
      <c r="D13" s="49"/>
      <c r="E13" s="42"/>
      <c r="F13" s="42"/>
      <c r="G13" s="49"/>
      <c r="H13" s="46"/>
      <c r="I13" s="42"/>
      <c r="J13" s="42"/>
      <c r="K13" s="47"/>
      <c r="L13" s="42"/>
      <c r="M13" s="42"/>
      <c r="N13" s="83">
        <f t="shared" ref="N13" si="18">SUM(C13:M13)</f>
        <v>0</v>
      </c>
      <c r="P13" s="42"/>
      <c r="Q13" s="48"/>
      <c r="R13" s="48"/>
      <c r="S13" s="48"/>
      <c r="T13" s="48"/>
      <c r="U13" s="83">
        <f t="shared" ref="U13" si="19">SUM(P13:T13)</f>
        <v>0</v>
      </c>
      <c r="W13" s="48"/>
      <c r="X13" s="48"/>
      <c r="Y13" s="48"/>
      <c r="Z13" s="48"/>
      <c r="AA13" s="48"/>
      <c r="AB13" s="83">
        <f t="shared" ref="AB13" si="20">SUM(W13:AA13)</f>
        <v>0</v>
      </c>
      <c r="AD13" s="48">
        <v>1</v>
      </c>
      <c r="AE13" s="48"/>
      <c r="AF13" s="83">
        <f t="shared" si="3"/>
        <v>1</v>
      </c>
      <c r="AH13" s="91">
        <f t="shared" si="4"/>
        <v>1</v>
      </c>
      <c r="AI13" s="32"/>
      <c r="AJ13" s="106"/>
      <c r="AK13" s="130"/>
      <c r="AL13" s="137"/>
      <c r="AM13" s="113">
        <f t="shared" si="5"/>
        <v>0</v>
      </c>
      <c r="AO13" s="91">
        <f t="shared" ref="AO13" si="21">SUM(AH13,AM13)</f>
        <v>1</v>
      </c>
    </row>
    <row r="14" spans="1:41" ht="13.5" thickBot="1" x14ac:dyDescent="0.25">
      <c r="A14" s="9" t="s">
        <v>16</v>
      </c>
      <c r="C14" s="42"/>
      <c r="D14" s="42"/>
      <c r="E14" s="42">
        <v>1.88035602</v>
      </c>
      <c r="F14" s="42">
        <v>4.7554213499999998</v>
      </c>
      <c r="G14" s="42">
        <v>9.0627342500000001</v>
      </c>
      <c r="H14" s="46">
        <v>130.86864059999999</v>
      </c>
      <c r="I14" s="42">
        <v>5.1903114199999996</v>
      </c>
      <c r="J14" s="42"/>
      <c r="K14" s="47"/>
      <c r="L14" s="42"/>
      <c r="M14" s="42"/>
      <c r="N14" s="83">
        <f t="shared" ref="N14:N61" si="22">SUM(C14:M14)</f>
        <v>151.75746364</v>
      </c>
      <c r="P14" s="42">
        <v>20.736000000000001</v>
      </c>
      <c r="Q14" s="48">
        <v>15.128593039999998</v>
      </c>
      <c r="R14" s="48">
        <v>38.974714310000003</v>
      </c>
      <c r="S14" s="48">
        <f>18.32844575+18.32844575</f>
        <v>36.6568915</v>
      </c>
      <c r="T14" s="48">
        <v>8.0340000000000007</v>
      </c>
      <c r="U14" s="83">
        <f t="shared" ref="U14:U61" si="23">SUM(P14:T14)</f>
        <v>119.53019885000002</v>
      </c>
      <c r="W14" s="48">
        <v>77.10330716</v>
      </c>
      <c r="X14" s="48">
        <f>76.26582082+16.27927621</f>
        <v>92.545097029999994</v>
      </c>
      <c r="Y14" s="48">
        <v>76.86314084</v>
      </c>
      <c r="Z14" s="48">
        <v>94.881251149999997</v>
      </c>
      <c r="AA14" s="48">
        <v>68.355820251599994</v>
      </c>
      <c r="AB14" s="83">
        <f t="shared" ref="AB14:AB61" si="24">SUM(W14:AA14)</f>
        <v>409.7486164316</v>
      </c>
      <c r="AD14" s="48">
        <v>73.72460212</v>
      </c>
      <c r="AE14" s="48">
        <v>73.183004999999994</v>
      </c>
      <c r="AF14" s="83">
        <f t="shared" si="3"/>
        <v>146.90760711999999</v>
      </c>
      <c r="AH14" s="91">
        <f t="shared" si="4"/>
        <v>827.94388604159997</v>
      </c>
      <c r="AI14" s="32"/>
      <c r="AJ14" s="106"/>
      <c r="AK14" s="130">
        <f>25+86.17988092+87.97184901+175.31277393</f>
        <v>374.46450385999998</v>
      </c>
      <c r="AL14" s="137">
        <v>36.960378470000002</v>
      </c>
      <c r="AM14" s="113">
        <f t="shared" si="5"/>
        <v>411.42488233</v>
      </c>
      <c r="AO14" s="91">
        <f t="shared" si="6"/>
        <v>1239.3687683716</v>
      </c>
    </row>
    <row r="15" spans="1:41" ht="15" thickBot="1" x14ac:dyDescent="0.25">
      <c r="A15" s="27" t="s">
        <v>127</v>
      </c>
      <c r="C15" s="42"/>
      <c r="D15" s="49"/>
      <c r="E15" s="42"/>
      <c r="F15" s="42"/>
      <c r="G15" s="49"/>
      <c r="H15" s="46"/>
      <c r="I15" s="42"/>
      <c r="J15" s="42"/>
      <c r="K15" s="47"/>
      <c r="L15" s="42"/>
      <c r="M15" s="42"/>
      <c r="N15" s="83">
        <f t="shared" si="22"/>
        <v>0</v>
      </c>
      <c r="P15" s="42"/>
      <c r="Q15" s="48"/>
      <c r="R15" s="48"/>
      <c r="S15" s="48"/>
      <c r="T15" s="48"/>
      <c r="U15" s="83">
        <f t="shared" si="23"/>
        <v>0</v>
      </c>
      <c r="W15" s="48">
        <v>2</v>
      </c>
      <c r="X15" s="48">
        <v>1</v>
      </c>
      <c r="Y15" s="48">
        <v>0.5</v>
      </c>
      <c r="Z15" s="48">
        <v>0.5</v>
      </c>
      <c r="AA15" s="48">
        <v>1</v>
      </c>
      <c r="AB15" s="83">
        <f t="shared" si="24"/>
        <v>5</v>
      </c>
      <c r="AD15" s="48">
        <v>4</v>
      </c>
      <c r="AE15" s="48">
        <v>4</v>
      </c>
      <c r="AF15" s="83">
        <f t="shared" si="3"/>
        <v>8</v>
      </c>
      <c r="AH15" s="91">
        <f t="shared" si="4"/>
        <v>13</v>
      </c>
      <c r="AI15" s="32"/>
      <c r="AJ15" s="106"/>
      <c r="AK15" s="130"/>
      <c r="AL15" s="137">
        <f>20+80</f>
        <v>100</v>
      </c>
      <c r="AM15" s="113">
        <f t="shared" si="5"/>
        <v>100</v>
      </c>
      <c r="AO15" s="91">
        <f t="shared" si="6"/>
        <v>113</v>
      </c>
    </row>
    <row r="16" spans="1:41" ht="13.5" thickBot="1" x14ac:dyDescent="0.25">
      <c r="A16" s="27" t="s">
        <v>17</v>
      </c>
      <c r="C16" s="42"/>
      <c r="D16" s="49"/>
      <c r="E16" s="42"/>
      <c r="F16" s="42"/>
      <c r="G16" s="49"/>
      <c r="H16" s="46"/>
      <c r="I16" s="42"/>
      <c r="J16" s="42"/>
      <c r="K16" s="47"/>
      <c r="L16" s="42"/>
      <c r="M16" s="42"/>
      <c r="N16" s="83">
        <f t="shared" si="22"/>
        <v>0</v>
      </c>
      <c r="P16" s="42"/>
      <c r="Q16" s="48"/>
      <c r="R16" s="48"/>
      <c r="S16" s="48"/>
      <c r="T16" s="48"/>
      <c r="U16" s="83">
        <f t="shared" si="23"/>
        <v>0</v>
      </c>
      <c r="W16" s="48"/>
      <c r="X16" s="48"/>
      <c r="Y16" s="48"/>
      <c r="Z16" s="48"/>
      <c r="AA16" s="48"/>
      <c r="AB16" s="83">
        <f t="shared" si="24"/>
        <v>0</v>
      </c>
      <c r="AD16" s="48"/>
      <c r="AE16" s="48"/>
      <c r="AF16" s="83">
        <f t="shared" si="3"/>
        <v>0</v>
      </c>
      <c r="AH16" s="91">
        <f t="shared" si="4"/>
        <v>0</v>
      </c>
      <c r="AI16" s="32"/>
      <c r="AJ16" s="106">
        <v>0.5</v>
      </c>
      <c r="AK16" s="130"/>
      <c r="AL16" s="137"/>
      <c r="AM16" s="113">
        <f t="shared" si="5"/>
        <v>0.5</v>
      </c>
      <c r="AO16" s="91">
        <f t="shared" si="6"/>
        <v>0.5</v>
      </c>
    </row>
    <row r="17" spans="1:41" ht="13.5" thickBot="1" x14ac:dyDescent="0.25">
      <c r="A17" s="27" t="s">
        <v>18</v>
      </c>
      <c r="C17" s="42"/>
      <c r="D17" s="49"/>
      <c r="E17" s="42"/>
      <c r="F17" s="42"/>
      <c r="G17" s="49"/>
      <c r="H17" s="46"/>
      <c r="I17" s="42"/>
      <c r="J17" s="42"/>
      <c r="K17" s="47"/>
      <c r="L17" s="42"/>
      <c r="M17" s="42"/>
      <c r="N17" s="83">
        <f>SUM(C17:M17)</f>
        <v>0</v>
      </c>
      <c r="P17" s="42"/>
      <c r="Q17" s="48"/>
      <c r="R17" s="48"/>
      <c r="S17" s="48"/>
      <c r="T17" s="48"/>
      <c r="U17" s="83">
        <f t="shared" ref="U17" si="25">SUM(P17:T17)</f>
        <v>0</v>
      </c>
      <c r="W17" s="48"/>
      <c r="X17" s="48"/>
      <c r="Y17" s="48"/>
      <c r="Z17" s="48"/>
      <c r="AA17" s="48"/>
      <c r="AB17" s="83">
        <f t="shared" ref="AB17" si="26">SUM(W17:AA17)</f>
        <v>0</v>
      </c>
      <c r="AD17" s="48"/>
      <c r="AE17" s="48"/>
      <c r="AF17" s="83">
        <f t="shared" si="3"/>
        <v>0</v>
      </c>
      <c r="AH17" s="91">
        <f t="shared" si="4"/>
        <v>0</v>
      </c>
      <c r="AI17" s="32"/>
      <c r="AJ17" s="106"/>
      <c r="AK17" s="130">
        <v>0.59</v>
      </c>
      <c r="AL17" s="137"/>
      <c r="AM17" s="113">
        <f t="shared" si="5"/>
        <v>0.59</v>
      </c>
      <c r="AO17" s="91">
        <f t="shared" ref="AO17" si="27">SUM(AH17,AM17)</f>
        <v>0.59</v>
      </c>
    </row>
    <row r="18" spans="1:41" ht="13.5" thickBot="1" x14ac:dyDescent="0.25">
      <c r="A18" s="9" t="s">
        <v>19</v>
      </c>
      <c r="C18" s="42"/>
      <c r="D18" s="49">
        <v>1.1474074299999999</v>
      </c>
      <c r="E18" s="42"/>
      <c r="F18" s="42"/>
      <c r="G18" s="49">
        <v>3.3388792199999999</v>
      </c>
      <c r="H18" s="50">
        <v>3.4161073900000001</v>
      </c>
      <c r="I18" s="42">
        <v>4.4112623400000004</v>
      </c>
      <c r="J18" s="42">
        <v>4.7375400000000001</v>
      </c>
      <c r="K18" s="47"/>
      <c r="L18" s="42">
        <v>9.0983955899999991</v>
      </c>
      <c r="M18" s="42">
        <v>1.807207</v>
      </c>
      <c r="N18" s="83">
        <f t="shared" si="22"/>
        <v>27.956798970000001</v>
      </c>
      <c r="P18" s="42">
        <v>8.798</v>
      </c>
      <c r="Q18" s="48">
        <v>4.3516250000000003</v>
      </c>
      <c r="R18" s="48">
        <v>4.5993378800000002</v>
      </c>
      <c r="S18" s="48"/>
      <c r="T18" s="48"/>
      <c r="U18" s="83">
        <f t="shared" si="23"/>
        <v>17.748962880000001</v>
      </c>
      <c r="W18" s="48"/>
      <c r="X18" s="48"/>
      <c r="Y18" s="48">
        <v>3.8159674899999998</v>
      </c>
      <c r="Z18" s="48">
        <v>3.6509349800000002</v>
      </c>
      <c r="AA18" s="48">
        <v>7.8875910999999999</v>
      </c>
      <c r="AB18" s="83">
        <f t="shared" si="24"/>
        <v>15.354493569999999</v>
      </c>
      <c r="AD18" s="48"/>
      <c r="AE18" s="48">
        <v>3.4750500400000002</v>
      </c>
      <c r="AF18" s="83">
        <f t="shared" si="3"/>
        <v>3.4750500400000002</v>
      </c>
      <c r="AH18" s="91">
        <f t="shared" si="4"/>
        <v>64.535305460000004</v>
      </c>
      <c r="AI18" s="32"/>
      <c r="AJ18" s="106"/>
      <c r="AK18" s="130">
        <f>7.91851255+7.99475263</f>
        <v>15.91326518</v>
      </c>
      <c r="AL18" s="137">
        <v>10.687056139999999</v>
      </c>
      <c r="AM18" s="113">
        <f t="shared" si="5"/>
        <v>26.600321319999999</v>
      </c>
      <c r="AO18" s="91">
        <f t="shared" si="6"/>
        <v>91.135626779999996</v>
      </c>
    </row>
    <row r="19" spans="1:41" ht="13.5" thickBot="1" x14ac:dyDescent="0.25">
      <c r="A19" s="9" t="s">
        <v>20</v>
      </c>
      <c r="C19" s="42"/>
      <c r="D19" s="49"/>
      <c r="E19" s="42"/>
      <c r="F19" s="49"/>
      <c r="G19" s="49"/>
      <c r="H19" s="50"/>
      <c r="I19" s="42"/>
      <c r="J19" s="42"/>
      <c r="K19" s="47"/>
      <c r="L19" s="42"/>
      <c r="M19" s="42"/>
      <c r="N19" s="83">
        <f t="shared" si="22"/>
        <v>0</v>
      </c>
      <c r="P19" s="42"/>
      <c r="Q19" s="48"/>
      <c r="R19" s="48"/>
      <c r="S19" s="48"/>
      <c r="T19" s="48"/>
      <c r="U19" s="83">
        <f t="shared" si="23"/>
        <v>0</v>
      </c>
      <c r="W19" s="48"/>
      <c r="X19" s="48"/>
      <c r="Y19" s="48"/>
      <c r="Z19" s="48"/>
      <c r="AA19" s="48"/>
      <c r="AB19" s="83">
        <f t="shared" si="24"/>
        <v>0</v>
      </c>
      <c r="AD19" s="48"/>
      <c r="AE19" s="48"/>
      <c r="AF19" s="83">
        <f t="shared" si="3"/>
        <v>0</v>
      </c>
      <c r="AH19" s="91">
        <f t="shared" si="4"/>
        <v>0</v>
      </c>
      <c r="AI19" s="32"/>
      <c r="AJ19" s="107">
        <v>8.5266999999999996E-2</v>
      </c>
      <c r="AK19" s="130">
        <v>8.2963999999999996E-2</v>
      </c>
      <c r="AL19" s="137">
        <v>4.0644E-2</v>
      </c>
      <c r="AM19" s="114">
        <f t="shared" si="5"/>
        <v>0.20887499999999998</v>
      </c>
      <c r="AO19" s="91">
        <f t="shared" si="6"/>
        <v>0.20887499999999998</v>
      </c>
    </row>
    <row r="20" spans="1:41" ht="15" thickBot="1" x14ac:dyDescent="0.25">
      <c r="A20" s="27" t="s">
        <v>128</v>
      </c>
      <c r="C20" s="42"/>
      <c r="D20" s="42"/>
      <c r="E20" s="42"/>
      <c r="F20" s="49">
        <v>1.26</v>
      </c>
      <c r="G20" s="42"/>
      <c r="H20" s="50"/>
      <c r="I20" s="42"/>
      <c r="J20" s="42">
        <v>4.84964</v>
      </c>
      <c r="K20" s="47">
        <v>23.129114000000001</v>
      </c>
      <c r="L20" s="42">
        <v>28.630130000000001</v>
      </c>
      <c r="M20" s="42"/>
      <c r="N20" s="83">
        <f t="shared" si="22"/>
        <v>57.868884000000001</v>
      </c>
      <c r="P20" s="51"/>
      <c r="Q20" s="48">
        <v>12.54732252</v>
      </c>
      <c r="R20" s="48"/>
      <c r="S20" s="48"/>
      <c r="T20" s="48">
        <v>22.27009</v>
      </c>
      <c r="U20" s="83">
        <f t="shared" si="23"/>
        <v>34.817412519999998</v>
      </c>
      <c r="W20" s="48">
        <v>14.401260000000001</v>
      </c>
      <c r="X20" s="48">
        <v>7.8138899999999998</v>
      </c>
      <c r="Y20" s="48">
        <f>30.83275+22.80911886</f>
        <v>53.641868860000002</v>
      </c>
      <c r="Z20" s="48">
        <f>9.8694+80.7264</f>
        <v>90.595799999999997</v>
      </c>
      <c r="AA20" s="48">
        <v>16.350000000000001</v>
      </c>
      <c r="AB20" s="83">
        <f t="shared" si="24"/>
        <v>182.80281886</v>
      </c>
      <c r="AD20" s="48">
        <f>30.83275+1.0966+8.9696</f>
        <v>40.898949999999999</v>
      </c>
      <c r="AE20" s="48">
        <v>16.350000000000001</v>
      </c>
      <c r="AF20" s="83">
        <f t="shared" si="3"/>
        <v>57.248950000000001</v>
      </c>
      <c r="AH20" s="91">
        <f t="shared" si="4"/>
        <v>332.73806537999997</v>
      </c>
      <c r="AI20" s="32"/>
      <c r="AJ20" s="106"/>
      <c r="AK20" s="130">
        <f>338.85+(55.2358+148.986)</f>
        <v>543.07179999999994</v>
      </c>
      <c r="AL20" s="137">
        <f>63.95246087+4.62573913</f>
        <v>68.57820000000001</v>
      </c>
      <c r="AM20" s="113">
        <f t="shared" si="5"/>
        <v>611.65</v>
      </c>
      <c r="AO20" s="91">
        <f t="shared" si="6"/>
        <v>944.38806537999994</v>
      </c>
    </row>
    <row r="21" spans="1:41" ht="13.5" thickBot="1" x14ac:dyDescent="0.25">
      <c r="A21" s="9" t="s">
        <v>21</v>
      </c>
      <c r="C21" s="42"/>
      <c r="D21" s="42"/>
      <c r="E21" s="42"/>
      <c r="F21" s="49"/>
      <c r="G21" s="49"/>
      <c r="H21" s="50"/>
      <c r="I21" s="42"/>
      <c r="J21" s="42"/>
      <c r="K21" s="47"/>
      <c r="L21" s="42"/>
      <c r="M21" s="42"/>
      <c r="N21" s="83">
        <f t="shared" si="22"/>
        <v>0</v>
      </c>
      <c r="P21" s="51"/>
      <c r="Q21" s="48"/>
      <c r="R21" s="48"/>
      <c r="S21" s="48"/>
      <c r="T21" s="48"/>
      <c r="U21" s="83">
        <f t="shared" si="23"/>
        <v>0</v>
      </c>
      <c r="W21" s="48"/>
      <c r="X21" s="48"/>
      <c r="Y21" s="48"/>
      <c r="Z21" s="48"/>
      <c r="AA21" s="48">
        <v>3.0407500000000001</v>
      </c>
      <c r="AB21" s="83">
        <f t="shared" si="24"/>
        <v>3.0407500000000001</v>
      </c>
      <c r="AD21" s="48"/>
      <c r="AE21" s="48"/>
      <c r="AF21" s="83">
        <f t="shared" si="3"/>
        <v>0</v>
      </c>
      <c r="AH21" s="91">
        <f t="shared" si="4"/>
        <v>3.0407500000000001</v>
      </c>
      <c r="AI21" s="32"/>
      <c r="AJ21" s="106"/>
      <c r="AK21" s="130"/>
      <c r="AL21" s="137">
        <f>2.24626+11.2313+3.67348194+2.03051</f>
        <v>19.181551939999999</v>
      </c>
      <c r="AM21" s="113">
        <f t="shared" si="5"/>
        <v>19.181551939999999</v>
      </c>
      <c r="AO21" s="91">
        <f t="shared" si="6"/>
        <v>22.222301939999998</v>
      </c>
    </row>
    <row r="22" spans="1:41" ht="13.5" thickBot="1" x14ac:dyDescent="0.25">
      <c r="A22" s="27" t="s">
        <v>22</v>
      </c>
      <c r="C22" s="42"/>
      <c r="D22" s="42"/>
      <c r="E22" s="42"/>
      <c r="F22" s="42"/>
      <c r="G22" s="49">
        <v>6.0291139200000003</v>
      </c>
      <c r="H22" s="50"/>
      <c r="I22" s="42">
        <v>12.63</v>
      </c>
      <c r="J22" s="42"/>
      <c r="K22" s="47"/>
      <c r="L22" s="42"/>
      <c r="M22" s="42"/>
      <c r="N22" s="83">
        <f t="shared" si="22"/>
        <v>18.659113920000003</v>
      </c>
      <c r="P22" s="42">
        <v>34.5</v>
      </c>
      <c r="Q22" s="48">
        <v>20.102150000000002</v>
      </c>
      <c r="R22" s="48">
        <v>34.93515</v>
      </c>
      <c r="S22" s="48">
        <v>6.8425500000000001</v>
      </c>
      <c r="T22" s="48">
        <v>5.8586</v>
      </c>
      <c r="U22" s="83">
        <f t="shared" si="23"/>
        <v>102.23845</v>
      </c>
      <c r="W22" s="48">
        <v>134.53778</v>
      </c>
      <c r="X22" s="48"/>
      <c r="Y22" s="48"/>
      <c r="Z22" s="48"/>
      <c r="AA22" s="48">
        <v>18.169499999999999</v>
      </c>
      <c r="AB22" s="83">
        <f t="shared" si="24"/>
        <v>152.70728</v>
      </c>
      <c r="AD22" s="48">
        <v>33.595423799999999</v>
      </c>
      <c r="AE22" s="48">
        <v>55.400096400000002</v>
      </c>
      <c r="AF22" s="83">
        <f t="shared" si="3"/>
        <v>88.995520200000001</v>
      </c>
      <c r="AH22" s="91">
        <f t="shared" si="4"/>
        <v>362.60036411999999</v>
      </c>
      <c r="AI22" s="32"/>
      <c r="AJ22" s="106"/>
      <c r="AK22" s="130">
        <f>42.845544+29.6775+84.42825+20.60977162+23.29758782</f>
        <v>200.85865344000001</v>
      </c>
      <c r="AL22" s="137"/>
      <c r="AM22" s="113">
        <f t="shared" si="5"/>
        <v>200.85865344000001</v>
      </c>
      <c r="AO22" s="91">
        <f t="shared" si="6"/>
        <v>563.45901756000001</v>
      </c>
    </row>
    <row r="23" spans="1:41" ht="13.5" thickBot="1" x14ac:dyDescent="0.25">
      <c r="A23" s="9" t="s">
        <v>23</v>
      </c>
      <c r="C23" s="42"/>
      <c r="D23" s="42"/>
      <c r="E23" s="42"/>
      <c r="F23" s="42"/>
      <c r="G23" s="42"/>
      <c r="H23" s="50"/>
      <c r="I23" s="42">
        <v>5.2603999999999997</v>
      </c>
      <c r="J23" s="42">
        <v>5.9480000000000004</v>
      </c>
      <c r="K23" s="47"/>
      <c r="L23" s="42">
        <v>5.7213799999999999</v>
      </c>
      <c r="M23" s="42">
        <v>5.13598</v>
      </c>
      <c r="N23" s="83">
        <f t="shared" si="22"/>
        <v>22.065760000000001</v>
      </c>
      <c r="P23" s="42">
        <v>8.5</v>
      </c>
      <c r="Q23" s="48">
        <v>34.692483279999998</v>
      </c>
      <c r="R23" s="48">
        <v>35.390059999999998</v>
      </c>
      <c r="S23" s="48">
        <f>11.6316+27.47318393+11.2563+9.96968308</f>
        <v>60.330767010000002</v>
      </c>
      <c r="T23" s="48">
        <f>13.6327654+11.148+11.243+11.265+10.744+5.26329122</f>
        <v>63.296056620000002</v>
      </c>
      <c r="U23" s="83">
        <f t="shared" si="23"/>
        <v>202.20936691</v>
      </c>
      <c r="W23" s="48">
        <v>115.24406384</v>
      </c>
      <c r="X23" s="48">
        <f>6.73968835+4.13493716+21.6599+11.2108+11.82085255+6.98574453+23.50283884+11.75141942+11.77411421+6.99919409+21.38212304+11.7821</f>
        <v>149.74371219</v>
      </c>
      <c r="Y23" s="48">
        <f>12.1637438+3.0409359375+9.1228078125+48.654975+34.1016+22.6642+28.33025</f>
        <v>158.07851255</v>
      </c>
      <c r="Z23" s="48">
        <f>18.67846875+18.69210195+18.66483555+18.67846875+77.91</f>
        <v>152.623875</v>
      </c>
      <c r="AA23" s="48">
        <f>18.962625+37.92525+18.962625</f>
        <v>75.850499999999997</v>
      </c>
      <c r="AB23" s="83">
        <f t="shared" si="24"/>
        <v>651.54066358</v>
      </c>
      <c r="AD23" s="48">
        <f>34.25025+34.25025+34.25025+34.25025+29.54</f>
        <v>166.541</v>
      </c>
      <c r="AE23" s="48">
        <f>57.654375+57.654375+23.06175</f>
        <v>138.37049999999999</v>
      </c>
      <c r="AF23" s="83">
        <f t="shared" si="3"/>
        <v>304.91149999999999</v>
      </c>
      <c r="AH23" s="91">
        <f t="shared" si="4"/>
        <v>1180.7272904899999</v>
      </c>
      <c r="AI23" s="32"/>
      <c r="AJ23" s="106">
        <v>121.14499313</v>
      </c>
      <c r="AK23" s="130">
        <v>827.16319318000001</v>
      </c>
      <c r="AL23" s="137"/>
      <c r="AM23" s="113">
        <f t="shared" si="5"/>
        <v>948.30818631</v>
      </c>
      <c r="AO23" s="91">
        <f t="shared" si="6"/>
        <v>2129.0354767999997</v>
      </c>
    </row>
    <row r="24" spans="1:41" ht="13.5" thickBot="1" x14ac:dyDescent="0.25">
      <c r="A24" s="27" t="s">
        <v>24</v>
      </c>
      <c r="C24" s="42"/>
      <c r="D24" s="49"/>
      <c r="E24" s="42"/>
      <c r="F24" s="42"/>
      <c r="G24" s="49"/>
      <c r="H24" s="46"/>
      <c r="I24" s="42"/>
      <c r="J24" s="42"/>
      <c r="K24" s="47"/>
      <c r="L24" s="42"/>
      <c r="M24" s="42"/>
      <c r="N24" s="83">
        <f t="shared" si="22"/>
        <v>0</v>
      </c>
      <c r="P24" s="42"/>
      <c r="Q24" s="48"/>
      <c r="R24" s="48"/>
      <c r="S24" s="48"/>
      <c r="T24" s="48"/>
      <c r="U24" s="83">
        <f t="shared" ref="U24" si="28">SUM(P24:T24)</f>
        <v>0</v>
      </c>
      <c r="W24" s="48"/>
      <c r="X24" s="48"/>
      <c r="Y24" s="48"/>
      <c r="Z24" s="48"/>
      <c r="AA24" s="48"/>
      <c r="AB24" s="83">
        <f t="shared" ref="AB24" si="29">SUM(W24:AA24)</f>
        <v>0</v>
      </c>
      <c r="AD24" s="48"/>
      <c r="AE24" s="48"/>
      <c r="AF24" s="83">
        <f t="shared" si="3"/>
        <v>0</v>
      </c>
      <c r="AH24" s="91">
        <f t="shared" si="4"/>
        <v>0</v>
      </c>
      <c r="AI24" s="32"/>
      <c r="AJ24" s="106"/>
      <c r="AK24" s="130">
        <v>1.80585</v>
      </c>
      <c r="AL24" s="137"/>
      <c r="AM24" s="113">
        <f t="shared" si="5"/>
        <v>1.80585</v>
      </c>
      <c r="AO24" s="91">
        <f t="shared" ref="AO24" si="30">SUM(AH24,AM24)</f>
        <v>1.80585</v>
      </c>
    </row>
    <row r="25" spans="1:41" ht="15" thickBot="1" x14ac:dyDescent="0.25">
      <c r="A25" s="27" t="s">
        <v>129</v>
      </c>
      <c r="C25" s="42"/>
      <c r="D25" s="42"/>
      <c r="E25" s="49"/>
      <c r="F25" s="49"/>
      <c r="G25" s="49"/>
      <c r="H25" s="50"/>
      <c r="I25" s="42"/>
      <c r="J25" s="42"/>
      <c r="K25" s="47"/>
      <c r="L25" s="42"/>
      <c r="M25" s="42"/>
      <c r="N25" s="83">
        <f t="shared" si="22"/>
        <v>0</v>
      </c>
      <c r="P25" s="42"/>
      <c r="Q25" s="48"/>
      <c r="R25" s="48"/>
      <c r="S25" s="48"/>
      <c r="T25" s="48"/>
      <c r="U25" s="83">
        <f t="shared" si="23"/>
        <v>0</v>
      </c>
      <c r="W25" s="48"/>
      <c r="X25" s="48"/>
      <c r="Y25" s="48">
        <v>1</v>
      </c>
      <c r="Z25" s="48"/>
      <c r="AA25" s="48"/>
      <c r="AB25" s="83">
        <f t="shared" si="24"/>
        <v>1</v>
      </c>
      <c r="AD25" s="48"/>
      <c r="AE25" s="48"/>
      <c r="AF25" s="83">
        <f t="shared" si="3"/>
        <v>0</v>
      </c>
      <c r="AH25" s="91">
        <f t="shared" si="4"/>
        <v>1</v>
      </c>
      <c r="AI25" s="32"/>
      <c r="AJ25" s="106"/>
      <c r="AK25" s="130">
        <f>1.92337283+4.12473189+(0.1008+0.189+0.021+0.021)</f>
        <v>6.3799047199999999</v>
      </c>
      <c r="AL25" s="137">
        <f>1.82136092+0.0082</f>
        <v>1.82956092</v>
      </c>
      <c r="AM25" s="113">
        <f t="shared" si="5"/>
        <v>8.2094656399999995</v>
      </c>
      <c r="AO25" s="91">
        <f t="shared" si="6"/>
        <v>9.2094656399999995</v>
      </c>
    </row>
    <row r="26" spans="1:41" ht="13.5" thickBot="1" x14ac:dyDescent="0.25">
      <c r="A26" s="27" t="s">
        <v>25</v>
      </c>
      <c r="C26" s="42"/>
      <c r="D26" s="42"/>
      <c r="E26" s="49"/>
      <c r="F26" s="49"/>
      <c r="G26" s="49"/>
      <c r="H26" s="50"/>
      <c r="I26" s="42"/>
      <c r="J26" s="42"/>
      <c r="K26" s="47"/>
      <c r="L26" s="42"/>
      <c r="M26" s="42"/>
      <c r="N26" s="83">
        <f t="shared" si="22"/>
        <v>0</v>
      </c>
      <c r="P26" s="42"/>
      <c r="Q26" s="48"/>
      <c r="R26" s="48"/>
      <c r="S26" s="48">
        <f>1+1</f>
        <v>2</v>
      </c>
      <c r="T26" s="48">
        <v>1</v>
      </c>
      <c r="U26" s="83">
        <f t="shared" si="23"/>
        <v>3</v>
      </c>
      <c r="W26" s="48">
        <v>1</v>
      </c>
      <c r="X26" s="48"/>
      <c r="Y26" s="48">
        <v>2</v>
      </c>
      <c r="Z26" s="48">
        <f>2+2</f>
        <v>4</v>
      </c>
      <c r="AA26" s="48"/>
      <c r="AB26" s="83">
        <f t="shared" si="24"/>
        <v>7</v>
      </c>
      <c r="AD26" s="48">
        <f>2+3</f>
        <v>5</v>
      </c>
      <c r="AE26" s="48">
        <v>3</v>
      </c>
      <c r="AF26" s="83">
        <f t="shared" si="3"/>
        <v>8</v>
      </c>
      <c r="AH26" s="91">
        <f t="shared" si="4"/>
        <v>18</v>
      </c>
      <c r="AI26" s="32"/>
      <c r="AJ26" s="106"/>
      <c r="AK26" s="130"/>
      <c r="AL26" s="137"/>
      <c r="AM26" s="113">
        <f t="shared" si="5"/>
        <v>0</v>
      </c>
      <c r="AO26" s="91">
        <f t="shared" si="6"/>
        <v>18</v>
      </c>
    </row>
    <row r="27" spans="1:41" ht="13.5" thickBot="1" x14ac:dyDescent="0.25">
      <c r="A27" s="9" t="s">
        <v>26</v>
      </c>
      <c r="C27" s="42"/>
      <c r="D27" s="42"/>
      <c r="E27" s="49">
        <v>0.51075000000000004</v>
      </c>
      <c r="F27" s="49">
        <v>0.62375000000000003</v>
      </c>
      <c r="G27" s="49">
        <v>0.65</v>
      </c>
      <c r="H27" s="50">
        <v>0.83145999999999998</v>
      </c>
      <c r="I27" s="42">
        <v>7.9020000000000001</v>
      </c>
      <c r="J27" s="52">
        <v>8.3111999999999995</v>
      </c>
      <c r="K27" s="47">
        <v>3.8413200000000001</v>
      </c>
      <c r="L27" s="42">
        <v>3.54</v>
      </c>
      <c r="M27" s="42">
        <v>3.6308630000000002</v>
      </c>
      <c r="N27" s="83">
        <f t="shared" si="22"/>
        <v>29.841343000000002</v>
      </c>
      <c r="P27" s="42">
        <v>4.9130000000000003</v>
      </c>
      <c r="Q27" s="48">
        <v>3.4915850000000002</v>
      </c>
      <c r="R27" s="48">
        <v>2.9849399999999999</v>
      </c>
      <c r="S27" s="48">
        <v>0.74670000000000003</v>
      </c>
      <c r="T27" s="48">
        <v>3.2814000000000001</v>
      </c>
      <c r="U27" s="83">
        <f t="shared" si="23"/>
        <v>15.417625000000001</v>
      </c>
      <c r="W27" s="48">
        <v>3.20139</v>
      </c>
      <c r="X27" s="48">
        <v>3.53277749</v>
      </c>
      <c r="Y27" s="48">
        <v>3.4058999999999999</v>
      </c>
      <c r="Z27" s="48">
        <v>3.3682799999999999</v>
      </c>
      <c r="AA27" s="48">
        <v>3.2463000000000002</v>
      </c>
      <c r="AB27" s="83">
        <f t="shared" si="24"/>
        <v>16.75464749</v>
      </c>
      <c r="AD27" s="48">
        <v>3.5190000000000001</v>
      </c>
      <c r="AE27" s="48">
        <v>3.1566000000000001</v>
      </c>
      <c r="AF27" s="83">
        <f t="shared" si="3"/>
        <v>6.6756000000000002</v>
      </c>
      <c r="AH27" s="91">
        <f t="shared" si="4"/>
        <v>68.689215489999995</v>
      </c>
      <c r="AI27" s="32"/>
      <c r="AJ27" s="106"/>
      <c r="AK27" s="130">
        <f>4.772+3.47895</f>
        <v>8.2509499999999996</v>
      </c>
      <c r="AL27" s="137">
        <v>1.1015999999999999</v>
      </c>
      <c r="AM27" s="113">
        <f t="shared" si="5"/>
        <v>9.352549999999999</v>
      </c>
      <c r="AO27" s="91">
        <f t="shared" si="6"/>
        <v>78.041765489999989</v>
      </c>
    </row>
    <row r="28" spans="1:41" ht="13.5" thickBot="1" x14ac:dyDescent="0.25">
      <c r="A28" s="27" t="s">
        <v>27</v>
      </c>
      <c r="C28" s="42"/>
      <c r="D28" s="42"/>
      <c r="E28" s="49"/>
      <c r="F28" s="49"/>
      <c r="G28" s="49"/>
      <c r="H28" s="50"/>
      <c r="I28" s="42"/>
      <c r="J28" s="52"/>
      <c r="K28" s="47"/>
      <c r="L28" s="42"/>
      <c r="M28" s="42"/>
      <c r="N28" s="83">
        <f t="shared" si="22"/>
        <v>0</v>
      </c>
      <c r="P28" s="42"/>
      <c r="Q28" s="48"/>
      <c r="R28" s="48"/>
      <c r="S28" s="48"/>
      <c r="T28" s="48"/>
      <c r="U28" s="83">
        <f t="shared" si="23"/>
        <v>0</v>
      </c>
      <c r="W28" s="48">
        <v>4.2531999999999996</v>
      </c>
      <c r="X28" s="48">
        <v>14.32920461</v>
      </c>
      <c r="Y28" s="48">
        <v>32.418120000000002</v>
      </c>
      <c r="Z28" s="48">
        <v>31.113600000000002</v>
      </c>
      <c r="AA28" s="48">
        <v>32.569600000000001</v>
      </c>
      <c r="AB28" s="83">
        <f t="shared" si="24"/>
        <v>114.68372461000001</v>
      </c>
      <c r="AD28" s="48">
        <v>4.7977999999999996</v>
      </c>
      <c r="AE28" s="48">
        <v>25.029599999999999</v>
      </c>
      <c r="AF28" s="83">
        <f t="shared" si="3"/>
        <v>29.827399999999997</v>
      </c>
      <c r="AH28" s="91">
        <f t="shared" si="4"/>
        <v>144.51112461000002</v>
      </c>
      <c r="AI28" s="32"/>
      <c r="AJ28" s="106"/>
      <c r="AK28" s="130">
        <f>79.375+24.492+338.85</f>
        <v>442.71700000000004</v>
      </c>
      <c r="AL28" s="137">
        <v>104.92</v>
      </c>
      <c r="AM28" s="113">
        <f t="shared" si="5"/>
        <v>547.63700000000006</v>
      </c>
      <c r="AO28" s="91">
        <f t="shared" si="6"/>
        <v>692.14812461000008</v>
      </c>
    </row>
    <row r="29" spans="1:41" ht="15" thickBot="1" x14ac:dyDescent="0.25">
      <c r="A29" s="27" t="s">
        <v>130</v>
      </c>
      <c r="C29" s="42"/>
      <c r="D29" s="42"/>
      <c r="E29" s="49"/>
      <c r="F29" s="49"/>
      <c r="G29" s="49"/>
      <c r="H29" s="50"/>
      <c r="I29" s="42"/>
      <c r="J29" s="52"/>
      <c r="K29" s="47"/>
      <c r="L29" s="42"/>
      <c r="M29" s="42"/>
      <c r="N29" s="83">
        <f t="shared" si="22"/>
        <v>0</v>
      </c>
      <c r="P29" s="42">
        <v>9.3480000000000008</v>
      </c>
      <c r="Q29" s="48">
        <v>9.0673919999999999</v>
      </c>
      <c r="R29" s="48">
        <v>9.0673919999999999</v>
      </c>
      <c r="S29" s="48">
        <v>8.6844629999999992</v>
      </c>
      <c r="T29" s="48">
        <v>17.368928</v>
      </c>
      <c r="U29" s="83">
        <f t="shared" si="23"/>
        <v>53.536175</v>
      </c>
      <c r="W29" s="48">
        <v>18.759418</v>
      </c>
      <c r="X29" s="48">
        <f>0.166666+19</f>
        <v>19.166665999999999</v>
      </c>
      <c r="Y29" s="48">
        <f>0.181818+18.818181+0.178571</f>
        <v>19.178570000000001</v>
      </c>
      <c r="Z29" s="48">
        <f>18.85+0.160714</f>
        <v>19.010714</v>
      </c>
      <c r="AA29" s="48">
        <f>18.6881+35+35-30</f>
        <v>58.688099999999991</v>
      </c>
      <c r="AB29" s="83">
        <f t="shared" si="24"/>
        <v>134.80346800000001</v>
      </c>
      <c r="AD29" s="48">
        <v>0.122627</v>
      </c>
      <c r="AE29" s="48">
        <f>10+10+10</f>
        <v>30</v>
      </c>
      <c r="AF29" s="83">
        <f t="shared" si="3"/>
        <v>30.122627000000001</v>
      </c>
      <c r="AH29" s="91">
        <f t="shared" si="4"/>
        <v>218.46227000000002</v>
      </c>
      <c r="AI29" s="32"/>
      <c r="AJ29" s="106">
        <f>15+15+30</f>
        <v>60</v>
      </c>
      <c r="AK29" s="130">
        <f>50+90</f>
        <v>140</v>
      </c>
      <c r="AL29" s="137">
        <f>648.884+151.116</f>
        <v>800</v>
      </c>
      <c r="AM29" s="113">
        <f t="shared" si="5"/>
        <v>1000</v>
      </c>
      <c r="AO29" s="91">
        <f t="shared" si="6"/>
        <v>1218.46227</v>
      </c>
    </row>
    <row r="30" spans="1:41" ht="13.5" thickBot="1" x14ac:dyDescent="0.25">
      <c r="A30" s="27" t="s">
        <v>28</v>
      </c>
      <c r="C30" s="42"/>
      <c r="D30" s="42"/>
      <c r="E30" s="49"/>
      <c r="F30" s="49"/>
      <c r="G30" s="49"/>
      <c r="H30" s="50"/>
      <c r="I30" s="42"/>
      <c r="J30" s="52"/>
      <c r="K30" s="47"/>
      <c r="L30" s="42"/>
      <c r="M30" s="42"/>
      <c r="N30" s="83">
        <f t="shared" si="22"/>
        <v>0</v>
      </c>
      <c r="P30" s="42"/>
      <c r="Q30" s="48"/>
      <c r="R30" s="48"/>
      <c r="S30" s="48"/>
      <c r="T30" s="48"/>
      <c r="U30" s="83">
        <f t="shared" si="23"/>
        <v>0</v>
      </c>
      <c r="W30" s="48"/>
      <c r="X30" s="48"/>
      <c r="Y30" s="48"/>
      <c r="Z30" s="48">
        <v>0.5</v>
      </c>
      <c r="AA30" s="48">
        <v>0.5</v>
      </c>
      <c r="AB30" s="83">
        <f t="shared" si="24"/>
        <v>1</v>
      </c>
      <c r="AD30" s="48"/>
      <c r="AE30" s="48"/>
      <c r="AF30" s="83">
        <f t="shared" si="3"/>
        <v>0</v>
      </c>
      <c r="AH30" s="91">
        <f t="shared" si="4"/>
        <v>1</v>
      </c>
      <c r="AI30" s="32"/>
      <c r="AJ30" s="106">
        <v>10</v>
      </c>
      <c r="AK30" s="130">
        <f>20+10</f>
        <v>30</v>
      </c>
      <c r="AL30" s="137">
        <v>10</v>
      </c>
      <c r="AM30" s="113">
        <f t="shared" si="5"/>
        <v>50</v>
      </c>
      <c r="AO30" s="91">
        <f t="shared" si="6"/>
        <v>51</v>
      </c>
    </row>
    <row r="31" spans="1:41" ht="13.5" thickBot="1" x14ac:dyDescent="0.25">
      <c r="A31" s="27" t="s">
        <v>29</v>
      </c>
      <c r="C31" s="42"/>
      <c r="D31" s="49"/>
      <c r="E31" s="42"/>
      <c r="F31" s="42"/>
      <c r="G31" s="49"/>
      <c r="H31" s="46"/>
      <c r="I31" s="42"/>
      <c r="J31" s="42"/>
      <c r="K31" s="47"/>
      <c r="L31" s="42"/>
      <c r="M31" s="42"/>
      <c r="N31" s="83">
        <f t="shared" si="22"/>
        <v>0</v>
      </c>
      <c r="P31" s="42"/>
      <c r="Q31" s="48"/>
      <c r="R31" s="48"/>
      <c r="S31" s="48"/>
      <c r="T31" s="48"/>
      <c r="U31" s="83">
        <f t="shared" ref="U31" si="31">SUM(P31:T31)</f>
        <v>0</v>
      </c>
      <c r="W31" s="48"/>
      <c r="X31" s="48"/>
      <c r="Y31" s="48"/>
      <c r="Z31" s="48"/>
      <c r="AA31" s="48"/>
      <c r="AB31" s="83">
        <f t="shared" ref="AB31" si="32">SUM(W31:AA31)</f>
        <v>0</v>
      </c>
      <c r="AD31" s="48"/>
      <c r="AE31" s="48"/>
      <c r="AF31" s="83">
        <f t="shared" si="3"/>
        <v>0</v>
      </c>
      <c r="AH31" s="91">
        <f t="shared" si="4"/>
        <v>0</v>
      </c>
      <c r="AI31" s="32"/>
      <c r="AJ31" s="106"/>
      <c r="AK31" s="130">
        <f>0.10950819+0.10678325</f>
        <v>0.21629144</v>
      </c>
      <c r="AL31" s="137">
        <f>0.10702567+0.32500631</f>
        <v>0.43203198000000004</v>
      </c>
      <c r="AM31" s="113">
        <f t="shared" si="5"/>
        <v>0.64832342000000009</v>
      </c>
      <c r="AO31" s="91">
        <f t="shared" ref="AO31" si="33">SUM(AH31,AM31)</f>
        <v>0.64832342000000009</v>
      </c>
    </row>
    <row r="32" spans="1:41" ht="13.5" thickBot="1" x14ac:dyDescent="0.25">
      <c r="A32" s="9" t="s">
        <v>30</v>
      </c>
      <c r="C32" s="42"/>
      <c r="D32" s="42"/>
      <c r="E32" s="49"/>
      <c r="F32" s="49"/>
      <c r="G32" s="49"/>
      <c r="H32" s="53">
        <v>0.64515</v>
      </c>
      <c r="I32" s="42">
        <v>1.318775</v>
      </c>
      <c r="J32" s="52">
        <v>0.81184000000000001</v>
      </c>
      <c r="K32" s="47">
        <v>1.4229000000000001</v>
      </c>
      <c r="L32" s="42">
        <v>1.1912400000000001</v>
      </c>
      <c r="M32" s="42">
        <v>1.1004400000000001</v>
      </c>
      <c r="N32" s="83">
        <f t="shared" si="22"/>
        <v>6.4903450000000005</v>
      </c>
      <c r="P32" s="42">
        <v>1.1859999999999999</v>
      </c>
      <c r="Q32" s="48">
        <v>1.0752701</v>
      </c>
      <c r="R32" s="48">
        <v>1.0590259</v>
      </c>
      <c r="S32" s="48">
        <v>1.1205940000000001</v>
      </c>
      <c r="T32" s="48">
        <v>0.92074765999999997</v>
      </c>
      <c r="U32" s="83">
        <f t="shared" si="23"/>
        <v>5.3616376599999995</v>
      </c>
      <c r="W32" s="48">
        <v>0.89615856999999999</v>
      </c>
      <c r="X32" s="48">
        <v>0.863788</v>
      </c>
      <c r="Y32" s="48">
        <v>0.91593999999999998</v>
      </c>
      <c r="Z32" s="48">
        <v>0.88240200000000002</v>
      </c>
      <c r="AA32" s="48">
        <v>0.94431200000000004</v>
      </c>
      <c r="AB32" s="83">
        <f t="shared" si="24"/>
        <v>4.5026005700000002</v>
      </c>
      <c r="AD32" s="48">
        <v>1.1918</v>
      </c>
      <c r="AE32" s="48">
        <v>0.97150000000000003</v>
      </c>
      <c r="AF32" s="83">
        <f t="shared" si="3"/>
        <v>2.1633</v>
      </c>
      <c r="AH32" s="91">
        <f t="shared" si="4"/>
        <v>18.517883229999999</v>
      </c>
      <c r="AI32" s="32"/>
      <c r="AJ32" s="106"/>
      <c r="AK32" s="130">
        <f>0.60715+0.60125+0.586+2.252756</f>
        <v>4.0471560000000002</v>
      </c>
      <c r="AL32" s="137">
        <f>1.007738+0.5014</f>
        <v>1.5091380000000001</v>
      </c>
      <c r="AM32" s="113">
        <f t="shared" si="5"/>
        <v>5.5562940000000003</v>
      </c>
      <c r="AO32" s="91">
        <f t="shared" si="6"/>
        <v>24.07417723</v>
      </c>
    </row>
    <row r="33" spans="1:41" ht="13.5" thickBot="1" x14ac:dyDescent="0.25">
      <c r="A33" s="9" t="s">
        <v>31</v>
      </c>
      <c r="C33" s="42"/>
      <c r="D33" s="42"/>
      <c r="E33" s="49"/>
      <c r="F33" s="49"/>
      <c r="G33" s="49"/>
      <c r="H33" s="53"/>
      <c r="I33" s="42"/>
      <c r="J33" s="52"/>
      <c r="K33" s="47"/>
      <c r="L33" s="42"/>
      <c r="M33" s="42"/>
      <c r="N33" s="83">
        <f t="shared" si="22"/>
        <v>0</v>
      </c>
      <c r="P33" s="42"/>
      <c r="Q33" s="48"/>
      <c r="R33" s="48"/>
      <c r="S33" s="48"/>
      <c r="T33" s="48"/>
      <c r="U33" s="83">
        <f t="shared" si="23"/>
        <v>0</v>
      </c>
      <c r="W33" s="48"/>
      <c r="X33" s="48"/>
      <c r="Y33" s="48"/>
      <c r="Z33" s="48"/>
      <c r="AA33" s="48"/>
      <c r="AB33" s="83">
        <f t="shared" si="24"/>
        <v>0</v>
      </c>
      <c r="AD33" s="48"/>
      <c r="AE33" s="48"/>
      <c r="AF33" s="83">
        <f t="shared" si="3"/>
        <v>0</v>
      </c>
      <c r="AH33" s="91">
        <f t="shared" si="4"/>
        <v>0</v>
      </c>
      <c r="AI33" s="32"/>
      <c r="AJ33" s="106"/>
      <c r="AK33" s="130">
        <v>0.1</v>
      </c>
      <c r="AL33" s="137"/>
      <c r="AM33" s="113">
        <f t="shared" si="5"/>
        <v>0.1</v>
      </c>
      <c r="AO33" s="91">
        <f t="shared" si="6"/>
        <v>0.1</v>
      </c>
    </row>
    <row r="34" spans="1:41" ht="13.5" thickBot="1" x14ac:dyDescent="0.25">
      <c r="A34" s="9" t="s">
        <v>32</v>
      </c>
      <c r="C34" s="42"/>
      <c r="D34" s="42"/>
      <c r="E34" s="49"/>
      <c r="F34" s="49"/>
      <c r="G34" s="49"/>
      <c r="H34" s="53"/>
      <c r="I34" s="42"/>
      <c r="J34" s="52"/>
      <c r="K34" s="47"/>
      <c r="L34" s="42"/>
      <c r="M34" s="42"/>
      <c r="N34" s="83">
        <f t="shared" ref="N34" si="34">SUM(C34:M34)</f>
        <v>0</v>
      </c>
      <c r="P34" s="42"/>
      <c r="Q34" s="48"/>
      <c r="R34" s="48"/>
      <c r="S34" s="48"/>
      <c r="T34" s="48"/>
      <c r="U34" s="83">
        <f t="shared" ref="U34" si="35">SUM(P34:T34)</f>
        <v>0</v>
      </c>
      <c r="W34" s="48"/>
      <c r="X34" s="48"/>
      <c r="Y34" s="48"/>
      <c r="Z34" s="48"/>
      <c r="AA34" s="48"/>
      <c r="AB34" s="83">
        <f t="shared" ref="AB34" si="36">SUM(W34:AA34)</f>
        <v>0</v>
      </c>
      <c r="AD34" s="48"/>
      <c r="AE34" s="48"/>
      <c r="AF34" s="83">
        <f t="shared" si="3"/>
        <v>0</v>
      </c>
      <c r="AH34" s="91">
        <f t="shared" si="4"/>
        <v>0</v>
      </c>
      <c r="AI34" s="32"/>
      <c r="AJ34" s="106"/>
      <c r="AK34" s="130">
        <v>4.7204000000000003E-2</v>
      </c>
      <c r="AL34" s="137">
        <v>4.0356000000000003E-2</v>
      </c>
      <c r="AM34" s="113">
        <f t="shared" si="5"/>
        <v>8.7559999999999999E-2</v>
      </c>
      <c r="AO34" s="91">
        <f t="shared" ref="AO34" si="37">SUM(AH34,AM34)</f>
        <v>8.7559999999999999E-2</v>
      </c>
    </row>
    <row r="35" spans="1:41" ht="13.5" thickBot="1" x14ac:dyDescent="0.25">
      <c r="A35" s="9" t="s">
        <v>33</v>
      </c>
      <c r="C35" s="42"/>
      <c r="D35" s="42"/>
      <c r="E35" s="49"/>
      <c r="F35" s="49"/>
      <c r="G35" s="49"/>
      <c r="H35" s="53"/>
      <c r="I35" s="42"/>
      <c r="J35" s="52"/>
      <c r="K35" s="47"/>
      <c r="L35" s="42"/>
      <c r="M35" s="42"/>
      <c r="N35" s="83">
        <f t="shared" si="22"/>
        <v>0</v>
      </c>
      <c r="P35" s="42"/>
      <c r="Q35" s="48"/>
      <c r="R35" s="48"/>
      <c r="S35" s="48"/>
      <c r="T35" s="48"/>
      <c r="U35" s="83">
        <f t="shared" si="23"/>
        <v>0</v>
      </c>
      <c r="W35" s="48"/>
      <c r="X35" s="48"/>
      <c r="Y35" s="48"/>
      <c r="Z35" s="48"/>
      <c r="AA35" s="48">
        <f>0.0025-0.0025</f>
        <v>0</v>
      </c>
      <c r="AB35" s="83">
        <f t="shared" si="24"/>
        <v>0</v>
      </c>
      <c r="AD35" s="48"/>
      <c r="AE35" s="48"/>
      <c r="AF35" s="83">
        <f t="shared" si="3"/>
        <v>0</v>
      </c>
      <c r="AH35" s="91">
        <f t="shared" si="4"/>
        <v>0</v>
      </c>
      <c r="AI35" s="32"/>
      <c r="AJ35" s="106"/>
      <c r="AK35" s="130">
        <v>2.5000000000000001E-3</v>
      </c>
      <c r="AL35" s="137"/>
      <c r="AM35" s="113">
        <f t="shared" si="5"/>
        <v>2.5000000000000001E-3</v>
      </c>
      <c r="AO35" s="91">
        <f t="shared" si="6"/>
        <v>2.5000000000000001E-3</v>
      </c>
    </row>
    <row r="36" spans="1:41" ht="13.5" thickBot="1" x14ac:dyDescent="0.25">
      <c r="A36" s="9" t="s">
        <v>34</v>
      </c>
      <c r="C36" s="42"/>
      <c r="D36" s="42"/>
      <c r="E36" s="49"/>
      <c r="F36" s="49"/>
      <c r="G36" s="49"/>
      <c r="H36" s="53"/>
      <c r="I36" s="42"/>
      <c r="J36" s="52"/>
      <c r="K36" s="47"/>
      <c r="L36" s="42"/>
      <c r="M36" s="42"/>
      <c r="N36" s="83">
        <f t="shared" si="22"/>
        <v>0</v>
      </c>
      <c r="P36" s="42"/>
      <c r="Q36" s="48"/>
      <c r="R36" s="48"/>
      <c r="S36" s="48"/>
      <c r="T36" s="48"/>
      <c r="U36" s="83">
        <f t="shared" si="23"/>
        <v>0</v>
      </c>
      <c r="W36" s="48"/>
      <c r="X36" s="48"/>
      <c r="Y36" s="48"/>
      <c r="Z36" s="48"/>
      <c r="AA36" s="48"/>
      <c r="AB36" s="83">
        <f t="shared" si="24"/>
        <v>0</v>
      </c>
      <c r="AD36" s="48"/>
      <c r="AE36" s="48"/>
      <c r="AF36" s="83">
        <f t="shared" si="3"/>
        <v>0</v>
      </c>
      <c r="AH36" s="91">
        <f t="shared" si="4"/>
        <v>0</v>
      </c>
      <c r="AI36" s="32"/>
      <c r="AJ36" s="106"/>
      <c r="AK36" s="130">
        <v>0.25</v>
      </c>
      <c r="AL36" s="137"/>
      <c r="AM36" s="113">
        <f t="shared" si="5"/>
        <v>0.25</v>
      </c>
      <c r="AO36" s="91">
        <f t="shared" si="6"/>
        <v>0.25</v>
      </c>
    </row>
    <row r="37" spans="1:41" ht="13.5" thickBot="1" x14ac:dyDescent="0.25">
      <c r="A37" s="9" t="s">
        <v>35</v>
      </c>
      <c r="C37" s="42"/>
      <c r="D37" s="42"/>
      <c r="E37" s="49"/>
      <c r="F37" s="49"/>
      <c r="G37" s="49"/>
      <c r="H37" s="53"/>
      <c r="I37" s="42"/>
      <c r="J37" s="52"/>
      <c r="K37" s="47"/>
      <c r="L37" s="42"/>
      <c r="M37" s="42"/>
      <c r="N37" s="83">
        <f t="shared" ref="N37" si="38">SUM(C37:M37)</f>
        <v>0</v>
      </c>
      <c r="P37" s="42"/>
      <c r="Q37" s="48"/>
      <c r="R37" s="48"/>
      <c r="S37" s="48"/>
      <c r="T37" s="48"/>
      <c r="U37" s="83">
        <f t="shared" ref="U37" si="39">SUM(P37:T37)</f>
        <v>0</v>
      </c>
      <c r="W37" s="48"/>
      <c r="X37" s="48"/>
      <c r="Y37" s="48"/>
      <c r="Z37" s="48"/>
      <c r="AA37" s="48"/>
      <c r="AB37" s="83">
        <f t="shared" ref="AB37" si="40">SUM(W37:AA37)</f>
        <v>0</v>
      </c>
      <c r="AD37" s="48"/>
      <c r="AE37" s="48"/>
      <c r="AF37" s="83">
        <f t="shared" si="3"/>
        <v>0</v>
      </c>
      <c r="AH37" s="91">
        <f t="shared" si="4"/>
        <v>0</v>
      </c>
      <c r="AI37" s="32"/>
      <c r="AJ37" s="106"/>
      <c r="AK37" s="130">
        <v>3.0000000000000001E-3</v>
      </c>
      <c r="AL37" s="137"/>
      <c r="AM37" s="113">
        <f t="shared" si="5"/>
        <v>3.0000000000000001E-3</v>
      </c>
      <c r="AO37" s="91">
        <f t="shared" ref="AO37" si="41">SUM(AH37,AM37)</f>
        <v>3.0000000000000001E-3</v>
      </c>
    </row>
    <row r="38" spans="1:41" ht="13.5" thickBot="1" x14ac:dyDescent="0.25">
      <c r="A38" s="27" t="s">
        <v>36</v>
      </c>
      <c r="C38" s="42"/>
      <c r="D38" s="42"/>
      <c r="E38" s="49"/>
      <c r="F38" s="49"/>
      <c r="G38" s="49"/>
      <c r="H38" s="53"/>
      <c r="I38" s="42"/>
      <c r="J38" s="52"/>
      <c r="K38" s="47"/>
      <c r="L38" s="42"/>
      <c r="M38" s="42"/>
      <c r="N38" s="83">
        <f t="shared" si="22"/>
        <v>0</v>
      </c>
      <c r="P38" s="42"/>
      <c r="Q38" s="48"/>
      <c r="R38" s="48"/>
      <c r="S38" s="48"/>
      <c r="T38" s="48"/>
      <c r="U38" s="83">
        <f t="shared" si="23"/>
        <v>0</v>
      </c>
      <c r="W38" s="48"/>
      <c r="X38" s="33">
        <v>0.107821</v>
      </c>
      <c r="Y38" s="33">
        <v>0.18451200000000001</v>
      </c>
      <c r="Z38" s="33">
        <v>0.16945199999999999</v>
      </c>
      <c r="AA38" s="48">
        <f>0.168615+0.65088</f>
        <v>0.81949499999999997</v>
      </c>
      <c r="AB38" s="83">
        <f t="shared" si="24"/>
        <v>1.28128</v>
      </c>
      <c r="AD38" s="48">
        <v>0.11917999999999999</v>
      </c>
      <c r="AE38" s="48">
        <v>0.1399125</v>
      </c>
      <c r="AF38" s="83">
        <f t="shared" si="3"/>
        <v>0.2590925</v>
      </c>
      <c r="AH38" s="91">
        <f t="shared" si="4"/>
        <v>1.5403724999999999</v>
      </c>
      <c r="AI38" s="32"/>
      <c r="AJ38" s="107">
        <f>0.023876+0.03648861</f>
        <v>6.0364609999999999E-2</v>
      </c>
      <c r="AK38" s="130"/>
      <c r="AL38" s="137"/>
      <c r="AM38" s="114">
        <f t="shared" si="5"/>
        <v>6.0364609999999999E-2</v>
      </c>
      <c r="AO38" s="91">
        <f t="shared" si="6"/>
        <v>1.6007371099999999</v>
      </c>
    </row>
    <row r="39" spans="1:41" ht="13.5" thickBot="1" x14ac:dyDescent="0.25">
      <c r="A39" s="9" t="s">
        <v>37</v>
      </c>
      <c r="C39" s="42"/>
      <c r="D39" s="42">
        <v>24.060334619999999</v>
      </c>
      <c r="E39" s="42">
        <v>13.375171870000001</v>
      </c>
      <c r="F39" s="42">
        <v>16.492641949999999</v>
      </c>
      <c r="G39" s="49">
        <v>17.329866450000001</v>
      </c>
      <c r="H39" s="50">
        <v>15.85941435</v>
      </c>
      <c r="I39" s="42"/>
      <c r="J39" s="52">
        <v>33.547469</v>
      </c>
      <c r="K39" s="47">
        <v>38.885300999999998</v>
      </c>
      <c r="L39" s="42">
        <v>31.20579</v>
      </c>
      <c r="M39" s="42">
        <v>25.1113845</v>
      </c>
      <c r="N39" s="83">
        <f t="shared" si="22"/>
        <v>215.86737374000001</v>
      </c>
      <c r="P39" s="42">
        <v>26.3</v>
      </c>
      <c r="Q39" s="48">
        <v>14.2065</v>
      </c>
      <c r="R39" s="48">
        <v>34.427500000000002</v>
      </c>
      <c r="S39" s="48">
        <v>39.8048</v>
      </c>
      <c r="T39" s="48">
        <v>33.945599999999999</v>
      </c>
      <c r="U39" s="83">
        <f t="shared" si="23"/>
        <v>148.68439999999998</v>
      </c>
      <c r="W39" s="48">
        <v>38.309967</v>
      </c>
      <c r="X39" s="48">
        <f>0.68127625+1.17542486+57.47701758</f>
        <v>59.333718690000005</v>
      </c>
      <c r="Y39" s="48">
        <f>1.48437318+0.11609+1.102855+25.4222244375+18.245615625</f>
        <v>46.371158242500002</v>
      </c>
      <c r="Z39" s="48">
        <f>42.96047813+4.05511412</f>
        <v>47.015592249999997</v>
      </c>
      <c r="AA39" s="48">
        <f>28.1911025+2.8549211</f>
        <v>31.046023599999998</v>
      </c>
      <c r="AB39" s="83">
        <f t="shared" si="24"/>
        <v>222.07645978250002</v>
      </c>
      <c r="AD39" s="48">
        <v>11.563000000000001</v>
      </c>
      <c r="AE39" s="48">
        <f>9.854+2.14344208</f>
        <v>11.997442079999999</v>
      </c>
      <c r="AF39" s="83">
        <f t="shared" si="3"/>
        <v>23.560442080000001</v>
      </c>
      <c r="AH39" s="91">
        <f t="shared" si="4"/>
        <v>610.1886756025001</v>
      </c>
      <c r="AI39" s="32"/>
      <c r="AJ39" s="106">
        <v>6.0685000000000002</v>
      </c>
      <c r="AK39" s="130">
        <f>29.655+47.644+3.368859</f>
        <v>80.667859000000007</v>
      </c>
      <c r="AL39" s="137">
        <f>21.99848+10.05515</f>
        <v>32.053629999999998</v>
      </c>
      <c r="AM39" s="113">
        <f t="shared" si="5"/>
        <v>118.78998900000001</v>
      </c>
      <c r="AO39" s="91">
        <f t="shared" si="6"/>
        <v>728.97866460250009</v>
      </c>
    </row>
    <row r="40" spans="1:41" ht="13.5" thickBot="1" x14ac:dyDescent="0.25">
      <c r="A40" s="27" t="s">
        <v>38</v>
      </c>
      <c r="C40" s="42"/>
      <c r="D40" s="49"/>
      <c r="E40" s="49"/>
      <c r="F40" s="49"/>
      <c r="G40" s="49"/>
      <c r="H40" s="50"/>
      <c r="I40" s="42"/>
      <c r="J40" s="54"/>
      <c r="K40" s="47"/>
      <c r="L40" s="42"/>
      <c r="M40" s="42"/>
      <c r="N40" s="83">
        <f t="shared" ref="N40" si="42">SUM(C40:M40)</f>
        <v>0</v>
      </c>
      <c r="P40" s="42"/>
      <c r="Q40" s="48"/>
      <c r="R40" s="48"/>
      <c r="S40" s="48"/>
      <c r="T40" s="48"/>
      <c r="U40" s="83">
        <f t="shared" ref="U40" si="43">SUM(P40:T40)</f>
        <v>0</v>
      </c>
      <c r="W40" s="48"/>
      <c r="X40" s="48"/>
      <c r="Y40" s="48"/>
      <c r="Z40" s="48"/>
      <c r="AA40" s="48"/>
      <c r="AB40" s="83">
        <f t="shared" ref="AB40" si="44">SUM(W40:AA40)</f>
        <v>0</v>
      </c>
      <c r="AD40" s="48"/>
      <c r="AE40" s="48"/>
      <c r="AF40" s="83">
        <f t="shared" si="3"/>
        <v>0</v>
      </c>
      <c r="AH40" s="91">
        <f t="shared" si="4"/>
        <v>0</v>
      </c>
      <c r="AI40" s="32"/>
      <c r="AJ40" s="106">
        <v>4.9181999999999997</v>
      </c>
      <c r="AK40" s="130">
        <f>7.317+6.672</f>
        <v>13.989000000000001</v>
      </c>
      <c r="AL40" s="137"/>
      <c r="AM40" s="113">
        <f t="shared" si="5"/>
        <v>18.9072</v>
      </c>
      <c r="AO40" s="91">
        <f t="shared" si="6"/>
        <v>18.9072</v>
      </c>
    </row>
    <row r="41" spans="1:41" ht="13.5" thickBot="1" x14ac:dyDescent="0.25">
      <c r="A41" s="27" t="s">
        <v>39</v>
      </c>
      <c r="C41" s="42"/>
      <c r="D41" s="49"/>
      <c r="E41" s="42"/>
      <c r="F41" s="42"/>
      <c r="G41" s="49"/>
      <c r="H41" s="46"/>
      <c r="I41" s="42"/>
      <c r="J41" s="42"/>
      <c r="K41" s="47"/>
      <c r="L41" s="42"/>
      <c r="M41" s="42"/>
      <c r="N41" s="83">
        <f t="shared" ref="N41" si="45">SUM(C41:M41)</f>
        <v>0</v>
      </c>
      <c r="P41" s="42"/>
      <c r="Q41" s="48"/>
      <c r="R41" s="48"/>
      <c r="S41" s="48"/>
      <c r="T41" s="48"/>
      <c r="U41" s="83">
        <f t="shared" ref="U41" si="46">SUM(P41:T41)</f>
        <v>0</v>
      </c>
      <c r="W41" s="48"/>
      <c r="X41" s="48"/>
      <c r="Y41" s="48"/>
      <c r="Z41" s="48"/>
      <c r="AA41" s="48"/>
      <c r="AB41" s="83">
        <f t="shared" ref="AB41" si="47">SUM(W41:AA41)</f>
        <v>0</v>
      </c>
      <c r="AD41" s="48">
        <v>0.92887123000000005</v>
      </c>
      <c r="AE41" s="48"/>
      <c r="AF41" s="83">
        <f t="shared" si="3"/>
        <v>0.92887123000000005</v>
      </c>
      <c r="AH41" s="91">
        <f t="shared" si="4"/>
        <v>0.92887123000000005</v>
      </c>
      <c r="AI41" s="32"/>
      <c r="AJ41" s="106"/>
      <c r="AK41" s="130"/>
      <c r="AL41" s="137"/>
      <c r="AM41" s="113">
        <f t="shared" si="5"/>
        <v>0</v>
      </c>
      <c r="AO41" s="91">
        <f t="shared" ref="AO41" si="48">SUM(AH41,AM41)</f>
        <v>0.92887123000000005</v>
      </c>
    </row>
    <row r="42" spans="1:41" ht="15" thickBot="1" x14ac:dyDescent="0.25">
      <c r="A42" s="27" t="s">
        <v>131</v>
      </c>
      <c r="C42" s="42"/>
      <c r="D42" s="49">
        <v>17.894689750000001</v>
      </c>
      <c r="E42" s="49">
        <v>21.325656089999999</v>
      </c>
      <c r="F42" s="49">
        <v>21.791086740000001</v>
      </c>
      <c r="G42" s="49">
        <v>40.92459264</v>
      </c>
      <c r="H42" s="50">
        <v>39.53459411</v>
      </c>
      <c r="I42" s="42">
        <v>67.379313700000012</v>
      </c>
      <c r="J42" s="54">
        <v>86.156761000000003</v>
      </c>
      <c r="K42" s="47">
        <v>65.449483259999994</v>
      </c>
      <c r="L42" s="42">
        <v>82.800324709999998</v>
      </c>
      <c r="M42" s="42">
        <v>76.483608000000004</v>
      </c>
      <c r="N42" s="83">
        <f t="shared" si="22"/>
        <v>519.74010999999996</v>
      </c>
      <c r="P42" s="42">
        <v>79.2</v>
      </c>
      <c r="Q42" s="48">
        <v>106.8762334</v>
      </c>
      <c r="R42" s="48">
        <v>126.86237634</v>
      </c>
      <c r="S42" s="48">
        <f>119.73607283+27.869</f>
        <v>147.60507282999998</v>
      </c>
      <c r="T42" s="48">
        <v>157.46568500000001</v>
      </c>
      <c r="U42" s="83">
        <f t="shared" si="23"/>
        <v>618.00936756999999</v>
      </c>
      <c r="W42" s="48">
        <v>139.66753800000001</v>
      </c>
      <c r="X42" s="48">
        <f>133.06601234+26.36814516</f>
        <v>159.4341575</v>
      </c>
      <c r="Y42" s="48">
        <f>137.30391502+7.37424108</f>
        <v>144.6781561</v>
      </c>
      <c r="Z42" s="48">
        <f>151.0231769+10.41453192</f>
        <v>161.43770882000001</v>
      </c>
      <c r="AA42" s="48">
        <v>164.81642147421601</v>
      </c>
      <c r="AB42" s="83">
        <f t="shared" si="24"/>
        <v>770.03398189421603</v>
      </c>
      <c r="AD42" s="48">
        <f>105.97204191+23.69735281</f>
        <v>129.66939472000001</v>
      </c>
      <c r="AE42" s="48">
        <f>105.31984381+17.18967299</f>
        <v>122.5095168</v>
      </c>
      <c r="AF42" s="83">
        <f t="shared" si="3"/>
        <v>252.17891152000001</v>
      </c>
      <c r="AH42" s="91">
        <f t="shared" si="4"/>
        <v>2159.9623709842162</v>
      </c>
      <c r="AI42" s="32"/>
      <c r="AJ42" s="106">
        <f>18.68512263+2.2344</f>
        <v>20.919522629999999</v>
      </c>
      <c r="AK42" s="130">
        <f>6.25+56.39044717+(0.135135+3.132885+0.84358+0.114)</f>
        <v>66.866047170000002</v>
      </c>
      <c r="AL42" s="137"/>
      <c r="AM42" s="113">
        <f t="shared" si="5"/>
        <v>87.785569800000005</v>
      </c>
      <c r="AO42" s="91">
        <f t="shared" si="6"/>
        <v>2247.7479407842161</v>
      </c>
    </row>
    <row r="43" spans="1:41" ht="13.5" thickBot="1" x14ac:dyDescent="0.25">
      <c r="A43" s="27" t="s">
        <v>41</v>
      </c>
      <c r="C43" s="42"/>
      <c r="D43" s="49"/>
      <c r="E43" s="49"/>
      <c r="F43" s="49"/>
      <c r="G43" s="49"/>
      <c r="H43" s="50"/>
      <c r="I43" s="42"/>
      <c r="J43" s="54"/>
      <c r="K43" s="47"/>
      <c r="L43" s="42"/>
      <c r="M43" s="42"/>
      <c r="N43" s="83">
        <f t="shared" si="22"/>
        <v>0</v>
      </c>
      <c r="P43" s="42"/>
      <c r="Q43" s="48"/>
      <c r="R43" s="48"/>
      <c r="S43" s="48"/>
      <c r="T43" s="48">
        <v>0.6</v>
      </c>
      <c r="U43" s="83">
        <f t="shared" si="23"/>
        <v>0.6</v>
      </c>
      <c r="W43" s="48"/>
      <c r="X43" s="48">
        <v>0.6</v>
      </c>
      <c r="Y43" s="48">
        <v>0.6</v>
      </c>
      <c r="Z43" s="48">
        <v>0.6</v>
      </c>
      <c r="AA43" s="48">
        <v>0.6</v>
      </c>
      <c r="AB43" s="83">
        <f t="shared" si="24"/>
        <v>2.4</v>
      </c>
      <c r="AD43" s="48"/>
      <c r="AE43" s="48"/>
      <c r="AF43" s="83">
        <f t="shared" si="3"/>
        <v>0</v>
      </c>
      <c r="AH43" s="91">
        <f t="shared" si="4"/>
        <v>3</v>
      </c>
      <c r="AI43" s="32"/>
      <c r="AJ43" s="106"/>
      <c r="AK43" s="130">
        <v>1</v>
      </c>
      <c r="AL43" s="137"/>
      <c r="AM43" s="113">
        <f t="shared" si="5"/>
        <v>1</v>
      </c>
      <c r="AO43" s="91">
        <f t="shared" si="6"/>
        <v>4</v>
      </c>
    </row>
    <row r="44" spans="1:41" ht="15" thickBot="1" x14ac:dyDescent="0.25">
      <c r="A44" s="27" t="s">
        <v>132</v>
      </c>
      <c r="C44" s="42"/>
      <c r="D44" s="49"/>
      <c r="E44" s="42"/>
      <c r="F44" s="42"/>
      <c r="G44" s="49"/>
      <c r="H44" s="46"/>
      <c r="I44" s="42"/>
      <c r="J44" s="42"/>
      <c r="K44" s="47"/>
      <c r="L44" s="42"/>
      <c r="M44" s="42"/>
      <c r="N44" s="83">
        <f t="shared" ref="N44" si="49">SUM(C44:M44)</f>
        <v>0</v>
      </c>
      <c r="P44" s="42"/>
      <c r="Q44" s="48"/>
      <c r="R44" s="48"/>
      <c r="S44" s="48"/>
      <c r="T44" s="48"/>
      <c r="U44" s="83">
        <f t="shared" ref="U44" si="50">SUM(P44:T44)</f>
        <v>0</v>
      </c>
      <c r="W44" s="48"/>
      <c r="X44" s="48"/>
      <c r="Y44" s="48"/>
      <c r="Z44" s="48"/>
      <c r="AA44" s="48"/>
      <c r="AB44" s="83">
        <f t="shared" ref="AB44" si="51">SUM(W44:AA44)</f>
        <v>0</v>
      </c>
      <c r="AD44" s="48"/>
      <c r="AE44" s="48"/>
      <c r="AF44" s="83">
        <f t="shared" ref="AF44" si="52">SUM(AD44:AE44)</f>
        <v>0</v>
      </c>
      <c r="AH44" s="91">
        <f t="shared" ref="AH44" si="53">SUM(AB44,U44,N44,AF44)</f>
        <v>0</v>
      </c>
      <c r="AI44" s="32"/>
      <c r="AJ44" s="106"/>
      <c r="AK44" s="130"/>
      <c r="AL44" s="137">
        <v>2.3310000000000001E-2</v>
      </c>
      <c r="AM44" s="113">
        <f t="shared" ref="AM44" si="54">SUM(AJ44:AL44)</f>
        <v>2.3310000000000001E-2</v>
      </c>
      <c r="AO44" s="91">
        <f t="shared" si="6"/>
        <v>2.3310000000000001E-2</v>
      </c>
    </row>
    <row r="45" spans="1:41" ht="13.5" thickBot="1" x14ac:dyDescent="0.25">
      <c r="A45" s="27" t="s">
        <v>42</v>
      </c>
      <c r="C45" s="42"/>
      <c r="D45" s="49"/>
      <c r="E45" s="42"/>
      <c r="F45" s="42"/>
      <c r="G45" s="49"/>
      <c r="H45" s="46"/>
      <c r="I45" s="42"/>
      <c r="J45" s="42"/>
      <c r="K45" s="47"/>
      <c r="L45" s="42"/>
      <c r="M45" s="42"/>
      <c r="N45" s="83">
        <f t="shared" si="22"/>
        <v>0</v>
      </c>
      <c r="P45" s="42"/>
      <c r="Q45" s="48"/>
      <c r="R45" s="48"/>
      <c r="S45" s="48"/>
      <c r="T45" s="48"/>
      <c r="U45" s="83">
        <f t="shared" si="23"/>
        <v>0</v>
      </c>
      <c r="W45" s="48"/>
      <c r="X45" s="48"/>
      <c r="Y45" s="48"/>
      <c r="Z45" s="48"/>
      <c r="AA45" s="48"/>
      <c r="AB45" s="83">
        <f t="shared" si="24"/>
        <v>0</v>
      </c>
      <c r="AD45" s="48"/>
      <c r="AE45" s="48"/>
      <c r="AF45" s="83">
        <f t="shared" si="3"/>
        <v>0</v>
      </c>
      <c r="AH45" s="91">
        <f t="shared" si="4"/>
        <v>0</v>
      </c>
      <c r="AI45" s="32"/>
      <c r="AJ45" s="106"/>
      <c r="AK45" s="130">
        <f>0.1+1</f>
        <v>1.1000000000000001</v>
      </c>
      <c r="AL45" s="137"/>
      <c r="AM45" s="113">
        <f t="shared" si="5"/>
        <v>1.1000000000000001</v>
      </c>
      <c r="AO45" s="91">
        <f t="shared" ref="AO45:AO47" si="55">SUM(AH45,AM45)</f>
        <v>1.1000000000000001</v>
      </c>
    </row>
    <row r="46" spans="1:41" ht="13.5" thickBot="1" x14ac:dyDescent="0.25">
      <c r="A46" s="27" t="s">
        <v>43</v>
      </c>
      <c r="C46" s="42"/>
      <c r="D46" s="49"/>
      <c r="E46" s="42"/>
      <c r="F46" s="42"/>
      <c r="G46" s="49"/>
      <c r="H46" s="46"/>
      <c r="I46" s="42"/>
      <c r="J46" s="42"/>
      <c r="K46" s="47"/>
      <c r="L46" s="42"/>
      <c r="M46" s="42"/>
      <c r="N46" s="83">
        <f t="shared" ref="N46" si="56">SUM(C46:M46)</f>
        <v>0</v>
      </c>
      <c r="P46" s="42"/>
      <c r="Q46" s="48"/>
      <c r="R46" s="48"/>
      <c r="S46" s="48"/>
      <c r="T46" s="48"/>
      <c r="U46" s="83">
        <f t="shared" ref="U46" si="57">SUM(P46:T46)</f>
        <v>0</v>
      </c>
      <c r="W46" s="48"/>
      <c r="X46" s="48"/>
      <c r="Y46" s="48"/>
      <c r="Z46" s="48"/>
      <c r="AA46" s="48"/>
      <c r="AB46" s="83">
        <f t="shared" ref="AB46" si="58">SUM(W46:AA46)</f>
        <v>0</v>
      </c>
      <c r="AD46" s="48"/>
      <c r="AE46" s="48"/>
      <c r="AF46" s="83">
        <f t="shared" si="3"/>
        <v>0</v>
      </c>
      <c r="AH46" s="91">
        <f t="shared" si="4"/>
        <v>0</v>
      </c>
      <c r="AI46" s="32"/>
      <c r="AJ46" s="106"/>
      <c r="AK46" s="130">
        <v>0.91439999999999999</v>
      </c>
      <c r="AL46" s="137"/>
      <c r="AM46" s="113">
        <f t="shared" si="5"/>
        <v>0.91439999999999999</v>
      </c>
      <c r="AO46" s="91">
        <f t="shared" si="55"/>
        <v>0.91439999999999999</v>
      </c>
    </row>
    <row r="47" spans="1:41" ht="13.5" thickBot="1" x14ac:dyDescent="0.25">
      <c r="A47" s="27" t="s">
        <v>44</v>
      </c>
      <c r="C47" s="42"/>
      <c r="D47" s="49"/>
      <c r="E47" s="42"/>
      <c r="F47" s="42"/>
      <c r="G47" s="49"/>
      <c r="H47" s="46"/>
      <c r="I47" s="42"/>
      <c r="J47" s="42"/>
      <c r="K47" s="47"/>
      <c r="L47" s="42"/>
      <c r="M47" s="42"/>
      <c r="N47" s="83">
        <f t="shared" si="22"/>
        <v>0</v>
      </c>
      <c r="P47" s="42"/>
      <c r="Q47" s="48"/>
      <c r="R47" s="48"/>
      <c r="S47" s="48"/>
      <c r="T47" s="48"/>
      <c r="U47" s="83">
        <f t="shared" ref="U47" si="59">SUM(P47:T47)</f>
        <v>0</v>
      </c>
      <c r="W47" s="48"/>
      <c r="X47" s="48"/>
      <c r="Y47" s="48"/>
      <c r="Z47" s="48"/>
      <c r="AA47" s="48"/>
      <c r="AB47" s="83">
        <f t="shared" ref="AB47" si="60">SUM(W47:AA47)</f>
        <v>0</v>
      </c>
      <c r="AD47" s="48">
        <v>0.1208</v>
      </c>
      <c r="AE47" s="48"/>
      <c r="AF47" s="83">
        <f t="shared" si="3"/>
        <v>0.1208</v>
      </c>
      <c r="AH47" s="91">
        <f t="shared" si="4"/>
        <v>0.1208</v>
      </c>
      <c r="AI47" s="32"/>
      <c r="AJ47" s="106"/>
      <c r="AK47" s="130">
        <f>0.81781875+0.169785</f>
        <v>0.98760375</v>
      </c>
      <c r="AL47" s="137">
        <v>0.15804166</v>
      </c>
      <c r="AM47" s="113">
        <f t="shared" si="5"/>
        <v>1.14564541</v>
      </c>
      <c r="AO47" s="91">
        <f t="shared" si="55"/>
        <v>1.26644541</v>
      </c>
    </row>
    <row r="48" spans="1:41" ht="13.5" thickBot="1" x14ac:dyDescent="0.25">
      <c r="A48" s="27" t="s">
        <v>45</v>
      </c>
      <c r="C48" s="42"/>
      <c r="D48" s="49"/>
      <c r="E48" s="49"/>
      <c r="F48" s="49"/>
      <c r="G48" s="49"/>
      <c r="H48" s="50"/>
      <c r="I48" s="42"/>
      <c r="J48" s="54"/>
      <c r="K48" s="47"/>
      <c r="L48" s="42"/>
      <c r="M48" s="42"/>
      <c r="N48" s="83">
        <f t="shared" si="22"/>
        <v>0</v>
      </c>
      <c r="P48" s="42"/>
      <c r="Q48" s="48"/>
      <c r="R48" s="48"/>
      <c r="S48" s="48"/>
      <c r="T48" s="48"/>
      <c r="U48" s="83">
        <f t="shared" si="23"/>
        <v>0</v>
      </c>
      <c r="W48" s="48">
        <v>2</v>
      </c>
      <c r="X48" s="48">
        <v>2</v>
      </c>
      <c r="Y48" s="48"/>
      <c r="Z48" s="48"/>
      <c r="AA48" s="48">
        <v>6</v>
      </c>
      <c r="AB48" s="83">
        <f t="shared" si="24"/>
        <v>10</v>
      </c>
      <c r="AD48" s="48">
        <v>2</v>
      </c>
      <c r="AE48" s="48"/>
      <c r="AF48" s="83">
        <f t="shared" si="3"/>
        <v>2</v>
      </c>
      <c r="AH48" s="91">
        <f t="shared" si="4"/>
        <v>12</v>
      </c>
      <c r="AI48" s="32"/>
      <c r="AJ48" s="106"/>
      <c r="AK48" s="130">
        <f>5+5</f>
        <v>10</v>
      </c>
      <c r="AL48" s="137"/>
      <c r="AM48" s="113">
        <f t="shared" si="5"/>
        <v>10</v>
      </c>
      <c r="AO48" s="91">
        <f t="shared" si="6"/>
        <v>22</v>
      </c>
    </row>
    <row r="49" spans="1:41" ht="15" thickBot="1" x14ac:dyDescent="0.25">
      <c r="A49" s="27" t="s">
        <v>133</v>
      </c>
      <c r="C49" s="42"/>
      <c r="D49" s="49"/>
      <c r="E49" s="49"/>
      <c r="F49" s="49"/>
      <c r="G49" s="49"/>
      <c r="H49" s="50"/>
      <c r="I49" s="42"/>
      <c r="J49" s="42"/>
      <c r="K49" s="47"/>
      <c r="L49" s="42"/>
      <c r="M49" s="10">
        <v>0.4</v>
      </c>
      <c r="N49" s="83">
        <f t="shared" si="22"/>
        <v>0.4</v>
      </c>
      <c r="P49" s="10">
        <v>0.3</v>
      </c>
      <c r="Q49" s="33">
        <v>0.3</v>
      </c>
      <c r="R49" s="48">
        <v>1</v>
      </c>
      <c r="S49" s="48">
        <v>1</v>
      </c>
      <c r="T49" s="48">
        <v>4</v>
      </c>
      <c r="U49" s="83">
        <f t="shared" si="23"/>
        <v>6.6</v>
      </c>
      <c r="W49" s="48">
        <v>4</v>
      </c>
      <c r="X49" s="48">
        <v>4</v>
      </c>
      <c r="Y49" s="48">
        <v>4</v>
      </c>
      <c r="Z49" s="48">
        <v>4.7372954399999996</v>
      </c>
      <c r="AA49" s="48">
        <v>5.4808400900000001</v>
      </c>
      <c r="AB49" s="83">
        <f t="shared" si="24"/>
        <v>22.218135530000001</v>
      </c>
      <c r="AD49" s="48"/>
      <c r="AE49" s="48">
        <f>4.9776008+5.33701575</f>
        <v>10.31461655</v>
      </c>
      <c r="AF49" s="83">
        <f t="shared" si="3"/>
        <v>10.31461655</v>
      </c>
      <c r="AH49" s="91">
        <f t="shared" si="4"/>
        <v>39.532752079999995</v>
      </c>
      <c r="AI49" s="32"/>
      <c r="AJ49" s="106"/>
      <c r="AK49" s="130">
        <f>10+100</f>
        <v>110</v>
      </c>
      <c r="AL49" s="137">
        <f>65+13.50116+21.49884</f>
        <v>100</v>
      </c>
      <c r="AM49" s="113">
        <f t="shared" si="5"/>
        <v>210</v>
      </c>
      <c r="AO49" s="91">
        <f t="shared" si="6"/>
        <v>249.53275207999999</v>
      </c>
    </row>
    <row r="50" spans="1:41" ht="13.5" thickBot="1" x14ac:dyDescent="0.25">
      <c r="A50" s="27" t="s">
        <v>46</v>
      </c>
      <c r="C50" s="42"/>
      <c r="D50" s="49"/>
      <c r="E50" s="42"/>
      <c r="F50" s="42"/>
      <c r="G50" s="49"/>
      <c r="H50" s="46"/>
      <c r="I50" s="42"/>
      <c r="J50" s="42"/>
      <c r="K50" s="47"/>
      <c r="L50" s="42"/>
      <c r="M50" s="42"/>
      <c r="N50" s="83">
        <f t="shared" ref="N50" si="61">SUM(C50:M50)</f>
        <v>0</v>
      </c>
      <c r="P50" s="42"/>
      <c r="Q50" s="48"/>
      <c r="R50" s="48"/>
      <c r="S50" s="48"/>
      <c r="T50" s="48"/>
      <c r="U50" s="83">
        <f t="shared" ref="U50" si="62">SUM(P50:T50)</f>
        <v>0</v>
      </c>
      <c r="W50" s="48"/>
      <c r="X50" s="48"/>
      <c r="Y50" s="48"/>
      <c r="Z50" s="48"/>
      <c r="AA50" s="48"/>
      <c r="AB50" s="83">
        <f t="shared" ref="AB50" si="63">SUM(W50:AA50)</f>
        <v>0</v>
      </c>
      <c r="AD50" s="48">
        <v>10</v>
      </c>
      <c r="AE50" s="48"/>
      <c r="AF50" s="83">
        <f t="shared" si="3"/>
        <v>10</v>
      </c>
      <c r="AH50" s="91">
        <f t="shared" si="4"/>
        <v>10</v>
      </c>
      <c r="AI50" s="32"/>
      <c r="AJ50" s="106"/>
      <c r="AK50" s="130"/>
      <c r="AL50" s="137"/>
      <c r="AM50" s="113">
        <f t="shared" si="5"/>
        <v>0</v>
      </c>
      <c r="AO50" s="91">
        <f t="shared" si="6"/>
        <v>10</v>
      </c>
    </row>
    <row r="51" spans="1:41" ht="13.5" thickBot="1" x14ac:dyDescent="0.25">
      <c r="A51" s="27" t="s">
        <v>47</v>
      </c>
      <c r="C51" s="42"/>
      <c r="D51" s="49"/>
      <c r="E51" s="49"/>
      <c r="F51" s="49"/>
      <c r="G51" s="49"/>
      <c r="H51" s="50"/>
      <c r="I51" s="42"/>
      <c r="J51" s="42"/>
      <c r="K51" s="47"/>
      <c r="L51" s="42"/>
      <c r="M51" s="42"/>
      <c r="N51" s="83">
        <f t="shared" si="22"/>
        <v>0</v>
      </c>
      <c r="P51" s="42"/>
      <c r="Q51" s="48"/>
      <c r="R51" s="48"/>
      <c r="S51" s="48"/>
      <c r="T51" s="48"/>
      <c r="U51" s="83">
        <f t="shared" si="23"/>
        <v>0</v>
      </c>
      <c r="W51" s="48">
        <v>2.5</v>
      </c>
      <c r="X51" s="48">
        <f>2.5+2.5</f>
        <v>5</v>
      </c>
      <c r="Y51" s="48">
        <f>2.5+2.5</f>
        <v>5</v>
      </c>
      <c r="Z51" s="48">
        <f>2.5+2.5</f>
        <v>5</v>
      </c>
      <c r="AA51" s="48">
        <f>2.5+2.5</f>
        <v>5</v>
      </c>
      <c r="AB51" s="83">
        <f t="shared" si="24"/>
        <v>22.5</v>
      </c>
      <c r="AD51" s="48">
        <v>2.5</v>
      </c>
      <c r="AE51" s="48"/>
      <c r="AF51" s="83">
        <f t="shared" si="3"/>
        <v>2.5</v>
      </c>
      <c r="AH51" s="91">
        <f t="shared" si="4"/>
        <v>25</v>
      </c>
      <c r="AI51" s="32"/>
      <c r="AJ51" s="106"/>
      <c r="AK51" s="130">
        <f>30+70</f>
        <v>100</v>
      </c>
      <c r="AL51" s="137">
        <v>50</v>
      </c>
      <c r="AM51" s="113">
        <f t="shared" si="5"/>
        <v>150</v>
      </c>
      <c r="AO51" s="91">
        <f t="shared" si="6"/>
        <v>175</v>
      </c>
    </row>
    <row r="52" spans="1:41" ht="13.5" thickBot="1" x14ac:dyDescent="0.25">
      <c r="A52" s="27" t="s">
        <v>48</v>
      </c>
      <c r="C52" s="42"/>
      <c r="D52" s="49"/>
      <c r="E52" s="42"/>
      <c r="F52" s="42"/>
      <c r="G52" s="49"/>
      <c r="H52" s="46"/>
      <c r="I52" s="42"/>
      <c r="J52" s="42"/>
      <c r="K52" s="47"/>
      <c r="L52" s="42"/>
      <c r="M52" s="42"/>
      <c r="N52" s="83">
        <f t="shared" si="22"/>
        <v>0</v>
      </c>
      <c r="P52" s="42"/>
      <c r="Q52" s="48"/>
      <c r="R52" s="48"/>
      <c r="S52" s="48"/>
      <c r="T52" s="48"/>
      <c r="U52" s="83">
        <f t="shared" si="23"/>
        <v>0</v>
      </c>
      <c r="W52" s="48"/>
      <c r="X52" s="48"/>
      <c r="Y52" s="48"/>
      <c r="Z52" s="48"/>
      <c r="AA52" s="48"/>
      <c r="AB52" s="83">
        <f t="shared" si="24"/>
        <v>0</v>
      </c>
      <c r="AD52" s="48"/>
      <c r="AE52" s="48"/>
      <c r="AF52" s="83">
        <f t="shared" si="3"/>
        <v>0</v>
      </c>
      <c r="AH52" s="91">
        <f t="shared" si="4"/>
        <v>0</v>
      </c>
      <c r="AI52" s="32"/>
      <c r="AJ52" s="106"/>
      <c r="AK52" s="130">
        <v>5</v>
      </c>
      <c r="AL52" s="137"/>
      <c r="AM52" s="113">
        <f t="shared" si="5"/>
        <v>5</v>
      </c>
      <c r="AO52" s="91">
        <f t="shared" ref="AO52" si="64">SUM(AH52,AM52)</f>
        <v>5</v>
      </c>
    </row>
    <row r="53" spans="1:41" ht="13.5" thickBot="1" x14ac:dyDescent="0.25">
      <c r="A53" s="27" t="s">
        <v>49</v>
      </c>
      <c r="C53" s="42"/>
      <c r="D53" s="49"/>
      <c r="E53" s="42"/>
      <c r="F53" s="42"/>
      <c r="G53" s="49"/>
      <c r="H53" s="46"/>
      <c r="I53" s="42"/>
      <c r="J53" s="42"/>
      <c r="K53" s="47"/>
      <c r="L53" s="42"/>
      <c r="M53" s="42"/>
      <c r="N53" s="83">
        <f t="shared" ref="N53" si="65">SUM(C53:M53)</f>
        <v>0</v>
      </c>
      <c r="P53" s="42"/>
      <c r="Q53" s="48"/>
      <c r="R53" s="48"/>
      <c r="S53" s="48"/>
      <c r="T53" s="48"/>
      <c r="U53" s="83">
        <f t="shared" ref="U53" si="66">SUM(P53:T53)</f>
        <v>0</v>
      </c>
      <c r="W53" s="48"/>
      <c r="X53" s="48"/>
      <c r="Y53" s="48"/>
      <c r="Z53" s="48"/>
      <c r="AA53" s="48"/>
      <c r="AB53" s="83">
        <f t="shared" ref="AB53" si="67">SUM(W53:AA53)</f>
        <v>0</v>
      </c>
      <c r="AD53" s="48"/>
      <c r="AE53" s="48"/>
      <c r="AF53" s="83">
        <f t="shared" si="3"/>
        <v>0</v>
      </c>
      <c r="AH53" s="91">
        <f t="shared" si="4"/>
        <v>0</v>
      </c>
      <c r="AI53" s="32"/>
      <c r="AJ53" s="106"/>
      <c r="AK53" s="130">
        <v>0.40680500000000003</v>
      </c>
      <c r="AL53" s="137">
        <v>0.163665</v>
      </c>
      <c r="AM53" s="113">
        <f t="shared" si="5"/>
        <v>0.57047000000000003</v>
      </c>
      <c r="AO53" s="91">
        <f t="shared" ref="AO53" si="68">SUM(AH53,AM53)</f>
        <v>0.57047000000000003</v>
      </c>
    </row>
    <row r="54" spans="1:41" ht="15" thickBot="1" x14ac:dyDescent="0.25">
      <c r="A54" s="27" t="s">
        <v>134</v>
      </c>
      <c r="C54" s="42"/>
      <c r="D54" s="42"/>
      <c r="E54" s="42"/>
      <c r="F54" s="42"/>
      <c r="G54" s="42"/>
      <c r="H54" s="50"/>
      <c r="I54" s="42"/>
      <c r="J54" s="42"/>
      <c r="K54" s="47">
        <v>40.536200000000001</v>
      </c>
      <c r="L54" s="42"/>
      <c r="M54" s="42"/>
      <c r="N54" s="83">
        <f t="shared" si="22"/>
        <v>40.536200000000001</v>
      </c>
      <c r="P54" s="42">
        <v>2.6659999999999999</v>
      </c>
      <c r="Q54" s="48"/>
      <c r="R54" s="48"/>
      <c r="S54" s="48"/>
      <c r="T54" s="48"/>
      <c r="U54" s="83">
        <f t="shared" si="23"/>
        <v>2.6659999999999999</v>
      </c>
      <c r="W54" s="48"/>
      <c r="X54" s="48"/>
      <c r="Y54" s="48"/>
      <c r="Z54" s="48"/>
      <c r="AA54" s="48"/>
      <c r="AB54" s="83">
        <f t="shared" si="24"/>
        <v>0</v>
      </c>
      <c r="AD54" s="48">
        <v>11.288270000000001</v>
      </c>
      <c r="AE54" s="48"/>
      <c r="AF54" s="83">
        <f t="shared" si="3"/>
        <v>11.288270000000001</v>
      </c>
      <c r="AH54" s="91">
        <f t="shared" si="4"/>
        <v>54.490470000000002</v>
      </c>
      <c r="AI54" s="32"/>
      <c r="AJ54" s="106"/>
      <c r="AK54" s="130">
        <v>0.93639050000000001</v>
      </c>
      <c r="AL54" s="137">
        <f>3.82445+0.11055+0.6451074+0.3032153</f>
        <v>4.8833226999999999</v>
      </c>
      <c r="AM54" s="113">
        <f t="shared" si="5"/>
        <v>5.8197131999999998</v>
      </c>
      <c r="AO54" s="91">
        <f t="shared" si="6"/>
        <v>60.310183200000004</v>
      </c>
    </row>
    <row r="55" spans="1:41" ht="13.5" thickBot="1" x14ac:dyDescent="0.25">
      <c r="A55" s="27" t="s">
        <v>50</v>
      </c>
      <c r="C55" s="42"/>
      <c r="D55" s="49"/>
      <c r="E55" s="42"/>
      <c r="F55" s="42"/>
      <c r="G55" s="49"/>
      <c r="H55" s="46"/>
      <c r="I55" s="42"/>
      <c r="J55" s="42"/>
      <c r="K55" s="47"/>
      <c r="L55" s="42"/>
      <c r="M55" s="42"/>
      <c r="N55" s="83">
        <f t="shared" si="22"/>
        <v>0</v>
      </c>
      <c r="P55" s="42"/>
      <c r="Q55" s="48"/>
      <c r="R55" s="48"/>
      <c r="S55" s="48"/>
      <c r="T55" s="48"/>
      <c r="U55" s="83">
        <f t="shared" ref="U55" si="69">SUM(P55:T55)</f>
        <v>0</v>
      </c>
      <c r="W55" s="48"/>
      <c r="X55" s="48"/>
      <c r="Y55" s="48"/>
      <c r="Z55" s="48"/>
      <c r="AA55" s="48"/>
      <c r="AB55" s="83">
        <f t="shared" ref="AB55" si="70">SUM(W55:AA55)</f>
        <v>0</v>
      </c>
      <c r="AD55" s="48"/>
      <c r="AE55" s="48"/>
      <c r="AF55" s="83">
        <f t="shared" ref="AF55" si="71">SUM(AD55:AE55)</f>
        <v>0</v>
      </c>
      <c r="AH55" s="91">
        <f t="shared" ref="AH55" si="72">SUM(AB55,U55,N55,AF55)</f>
        <v>0</v>
      </c>
      <c r="AI55" s="32"/>
      <c r="AJ55" s="106"/>
      <c r="AK55" s="130"/>
      <c r="AL55" s="137">
        <v>6.071559E-2</v>
      </c>
      <c r="AM55" s="113">
        <f t="shared" ref="AM55" si="73">SUM(AJ55:AL55)</f>
        <v>6.071559E-2</v>
      </c>
      <c r="AO55" s="91">
        <f t="shared" ref="AO55" si="74">SUM(AH55,AM55)</f>
        <v>6.071559E-2</v>
      </c>
    </row>
    <row r="56" spans="1:41" ht="13.5" thickBot="1" x14ac:dyDescent="0.25">
      <c r="A56" s="9" t="s">
        <v>51</v>
      </c>
      <c r="C56" s="42"/>
      <c r="D56" s="49">
        <v>1.8921325899999999</v>
      </c>
      <c r="E56" s="49">
        <v>1.1147999799999999</v>
      </c>
      <c r="F56" s="49">
        <v>2.38518169</v>
      </c>
      <c r="G56" s="49">
        <v>4.9314298799999996</v>
      </c>
      <c r="H56" s="50">
        <v>12.66340061</v>
      </c>
      <c r="I56" s="42">
        <v>14.593975029999999</v>
      </c>
      <c r="J56" s="42">
        <v>15.514976000000001</v>
      </c>
      <c r="K56" s="47">
        <v>19.151976000000001</v>
      </c>
      <c r="L56" s="42">
        <v>13.80099952</v>
      </c>
      <c r="M56" s="42">
        <v>36.487497500000003</v>
      </c>
      <c r="N56" s="83">
        <f t="shared" si="22"/>
        <v>122.53636880000002</v>
      </c>
      <c r="P56" s="42">
        <v>92.7</v>
      </c>
      <c r="Q56" s="48"/>
      <c r="R56" s="48">
        <v>70.900080489999993</v>
      </c>
      <c r="S56" s="48">
        <v>49.84</v>
      </c>
      <c r="T56" s="48">
        <v>41.475000000000001</v>
      </c>
      <c r="U56" s="83">
        <f t="shared" si="23"/>
        <v>254.91508048999998</v>
      </c>
      <c r="W56" s="48">
        <v>36.391199999999998</v>
      </c>
      <c r="X56" s="48">
        <v>33.504578960000003</v>
      </c>
      <c r="Y56" s="48">
        <v>42.436950889999999</v>
      </c>
      <c r="Z56" s="48">
        <f>19.58512008+16.14</f>
        <v>35.725120079999996</v>
      </c>
      <c r="AA56" s="48">
        <v>40.858379999999997</v>
      </c>
      <c r="AB56" s="83">
        <f t="shared" si="24"/>
        <v>188.91622992999999</v>
      </c>
      <c r="AD56" s="48">
        <f>17.5875+21.86152351</f>
        <v>39.449023510000004</v>
      </c>
      <c r="AE56" s="48">
        <f>21.9233825819293+4.9425+9.275</f>
        <v>36.140882581929297</v>
      </c>
      <c r="AF56" s="83">
        <f t="shared" si="3"/>
        <v>75.589906091929294</v>
      </c>
      <c r="AH56" s="91">
        <f t="shared" si="4"/>
        <v>641.95758531192928</v>
      </c>
      <c r="AI56" s="32"/>
      <c r="AJ56" s="106">
        <v>11.58512058</v>
      </c>
      <c r="AK56" s="130">
        <v>11.67029804</v>
      </c>
      <c r="AL56" s="137"/>
      <c r="AM56" s="113">
        <f t="shared" si="5"/>
        <v>23.25541862</v>
      </c>
      <c r="AO56" s="91">
        <f t="shared" si="6"/>
        <v>665.21300393192928</v>
      </c>
    </row>
    <row r="57" spans="1:41" ht="13.5" thickBot="1" x14ac:dyDescent="0.25">
      <c r="A57" s="27" t="s">
        <v>52</v>
      </c>
      <c r="C57" s="42"/>
      <c r="D57" s="49"/>
      <c r="E57" s="49"/>
      <c r="F57" s="49"/>
      <c r="G57" s="49"/>
      <c r="H57" s="50"/>
      <c r="I57" s="42"/>
      <c r="J57" s="42"/>
      <c r="K57" s="47"/>
      <c r="L57" s="42"/>
      <c r="M57" s="42"/>
      <c r="N57" s="83">
        <f t="shared" si="22"/>
        <v>0</v>
      </c>
      <c r="P57" s="42"/>
      <c r="Q57" s="48"/>
      <c r="R57" s="48"/>
      <c r="S57" s="48"/>
      <c r="T57" s="48"/>
      <c r="U57" s="83">
        <f t="shared" si="23"/>
        <v>0</v>
      </c>
      <c r="W57" s="48">
        <v>1.5797791999999999</v>
      </c>
      <c r="X57" s="48"/>
      <c r="Y57" s="48"/>
      <c r="Z57" s="48"/>
      <c r="AA57" s="48">
        <f>11.2905+0.56177087</f>
        <v>11.85227087</v>
      </c>
      <c r="AB57" s="83">
        <f t="shared" si="24"/>
        <v>13.432050069999999</v>
      </c>
      <c r="AD57" s="48">
        <v>0.43321999999999999</v>
      </c>
      <c r="AE57" s="48"/>
      <c r="AF57" s="83">
        <f t="shared" si="3"/>
        <v>0.43321999999999999</v>
      </c>
      <c r="AH57" s="91">
        <f t="shared" si="4"/>
        <v>13.865270069999999</v>
      </c>
      <c r="AI57" s="32"/>
      <c r="AJ57" s="106">
        <v>22.477137939999999</v>
      </c>
      <c r="AK57" s="130">
        <v>135.00378011000001</v>
      </c>
      <c r="AL57" s="137"/>
      <c r="AM57" s="113">
        <f t="shared" si="5"/>
        <v>157.48091805000001</v>
      </c>
      <c r="AO57" s="91">
        <f t="shared" si="6"/>
        <v>171.34618812000002</v>
      </c>
    </row>
    <row r="58" spans="1:41" ht="13.5" thickBot="1" x14ac:dyDescent="0.25">
      <c r="A58" s="27" t="s">
        <v>53</v>
      </c>
      <c r="C58" s="42"/>
      <c r="D58" s="49"/>
      <c r="E58" s="42"/>
      <c r="F58" s="42"/>
      <c r="G58" s="49"/>
      <c r="H58" s="46"/>
      <c r="I58" s="42"/>
      <c r="J58" s="42"/>
      <c r="K58" s="47"/>
      <c r="L58" s="42"/>
      <c r="M58" s="42"/>
      <c r="N58" s="83">
        <f t="shared" si="22"/>
        <v>0</v>
      </c>
      <c r="P58" s="42"/>
      <c r="Q58" s="48"/>
      <c r="R58" s="48"/>
      <c r="S58" s="48"/>
      <c r="T58" s="48"/>
      <c r="U58" s="83">
        <f t="shared" ref="U58" si="75">SUM(P58:T58)</f>
        <v>0</v>
      </c>
      <c r="W58" s="48"/>
      <c r="X58" s="48"/>
      <c r="Y58" s="48"/>
      <c r="Z58" s="48"/>
      <c r="AA58" s="48"/>
      <c r="AB58" s="83">
        <f t="shared" ref="AB58" si="76">SUM(W58:AA58)</f>
        <v>0</v>
      </c>
      <c r="AD58" s="48"/>
      <c r="AE58" s="48">
        <f>0.18928962+0.206027</f>
        <v>0.39531662000000001</v>
      </c>
      <c r="AF58" s="83">
        <f t="shared" ref="AF58" si="77">SUM(AD58:AE58)</f>
        <v>0.39531662000000001</v>
      </c>
      <c r="AH58" s="91">
        <f t="shared" ref="AH58" si="78">SUM(AB58,U58,N58,AF58)</f>
        <v>0.39531662000000001</v>
      </c>
      <c r="AI58" s="32"/>
      <c r="AJ58" s="106"/>
      <c r="AK58" s="130"/>
      <c r="AL58" s="137"/>
      <c r="AM58" s="113">
        <f t="shared" ref="AM58" si="79">SUM(AJ58:AL58)</f>
        <v>0</v>
      </c>
      <c r="AO58" s="91">
        <f t="shared" ref="AO58" si="80">SUM(AH58,AM58)</f>
        <v>0.39531662000000001</v>
      </c>
    </row>
    <row r="59" spans="1:41" ht="15" thickBot="1" x14ac:dyDescent="0.25">
      <c r="A59" s="27" t="s">
        <v>135</v>
      </c>
      <c r="C59" s="42">
        <v>4.4634</v>
      </c>
      <c r="D59" s="42"/>
      <c r="E59" s="49">
        <v>15.048249999999999</v>
      </c>
      <c r="F59" s="42">
        <v>5.60595</v>
      </c>
      <c r="G59" s="49">
        <v>18.491534999999999</v>
      </c>
      <c r="H59" s="50">
        <v>6.6251490000000004</v>
      </c>
      <c r="I59" s="42">
        <v>23.214072000000002</v>
      </c>
      <c r="J59" s="52">
        <v>48.113951999999998</v>
      </c>
      <c r="K59" s="47"/>
      <c r="L59" s="42"/>
      <c r="M59" s="47">
        <v>15.883044</v>
      </c>
      <c r="N59" s="84">
        <f t="shared" si="22"/>
        <v>137.44535199999999</v>
      </c>
      <c r="P59" s="47">
        <v>85.1</v>
      </c>
      <c r="Q59" s="55">
        <v>206.88</v>
      </c>
      <c r="R59" s="55">
        <v>447.88005122999999</v>
      </c>
      <c r="S59" s="55">
        <v>302.55504000000002</v>
      </c>
      <c r="T59" s="55">
        <f>418.55298+23.91142691</f>
        <v>442.46440690999998</v>
      </c>
      <c r="U59" s="84">
        <f t="shared" si="23"/>
        <v>1484.8794981399999</v>
      </c>
      <c r="W59" s="55">
        <v>304.83199999999999</v>
      </c>
      <c r="X59" s="55">
        <v>282.065</v>
      </c>
      <c r="Y59" s="55">
        <f>237.859968+15.02140486</f>
        <v>252.88137286</v>
      </c>
      <c r="Z59" s="55">
        <v>267.42500000000001</v>
      </c>
      <c r="AA59" s="48">
        <v>270.52</v>
      </c>
      <c r="AB59" s="84">
        <f t="shared" si="24"/>
        <v>1377.7233728599999</v>
      </c>
      <c r="AD59" s="48">
        <f>274.26954378+6.31957474</f>
        <v>280.58911852</v>
      </c>
      <c r="AE59" s="48"/>
      <c r="AF59" s="84">
        <f t="shared" si="3"/>
        <v>280.58911852</v>
      </c>
      <c r="AH59" s="91">
        <f t="shared" si="4"/>
        <v>3280.6373415200001</v>
      </c>
      <c r="AI59" s="32"/>
      <c r="AJ59" s="106"/>
      <c r="AK59" s="130">
        <v>60.625</v>
      </c>
      <c r="AL59" s="137">
        <v>62.500500000000002</v>
      </c>
      <c r="AM59" s="113">
        <f t="shared" si="5"/>
        <v>123.1255</v>
      </c>
      <c r="AO59" s="91">
        <f t="shared" si="6"/>
        <v>3403.7628415200002</v>
      </c>
    </row>
    <row r="60" spans="1:41" ht="13.5" thickBot="1" x14ac:dyDescent="0.25">
      <c r="A60" s="9" t="s">
        <v>55</v>
      </c>
      <c r="C60" s="42"/>
      <c r="D60" s="42">
        <v>48.091999999999999</v>
      </c>
      <c r="E60" s="49">
        <v>53</v>
      </c>
      <c r="F60" s="42">
        <v>58</v>
      </c>
      <c r="G60" s="49">
        <v>59.64</v>
      </c>
      <c r="H60" s="50">
        <v>64.48</v>
      </c>
      <c r="I60" s="42">
        <v>69.3</v>
      </c>
      <c r="J60" s="52">
        <v>69.3</v>
      </c>
      <c r="K60" s="47">
        <v>71.912999999999997</v>
      </c>
      <c r="L60" s="42">
        <v>75</v>
      </c>
      <c r="M60" s="47">
        <v>78</v>
      </c>
      <c r="N60" s="84">
        <f t="shared" ref="N60" si="81">SUM(C60:M60)</f>
        <v>646.72500000000002</v>
      </c>
      <c r="P60" s="47">
        <v>89.8</v>
      </c>
      <c r="Q60" s="55">
        <v>130</v>
      </c>
      <c r="R60" s="55">
        <v>137.978655</v>
      </c>
      <c r="S60" s="55">
        <v>175</v>
      </c>
      <c r="T60" s="55">
        <v>200</v>
      </c>
      <c r="U60" s="84">
        <f t="shared" ref="U60" si="82">SUM(P60:T60)</f>
        <v>732.77865500000007</v>
      </c>
      <c r="W60" s="55">
        <v>235</v>
      </c>
      <c r="X60" s="55">
        <v>275</v>
      </c>
      <c r="Y60" s="55">
        <v>290</v>
      </c>
      <c r="Z60" s="55">
        <v>290</v>
      </c>
      <c r="AA60" s="48">
        <v>290</v>
      </c>
      <c r="AB60" s="84">
        <f t="shared" ref="AB60" si="83">SUM(W60:AA60)</f>
        <v>1380</v>
      </c>
      <c r="AD60" s="48">
        <f>19.9999254+0.0000746</f>
        <v>20</v>
      </c>
      <c r="AE60" s="48">
        <f>290+290</f>
        <v>580</v>
      </c>
      <c r="AF60" s="84">
        <f t="shared" si="3"/>
        <v>600</v>
      </c>
      <c r="AH60" s="91">
        <f t="shared" si="4"/>
        <v>3359.503655</v>
      </c>
      <c r="AI60" s="32"/>
      <c r="AJ60" s="106"/>
      <c r="AK60" s="130">
        <f>1500+2000</f>
        <v>3500</v>
      </c>
      <c r="AL60" s="137"/>
      <c r="AM60" s="113">
        <f t="shared" si="5"/>
        <v>3500</v>
      </c>
      <c r="AO60" s="91">
        <f t="shared" ref="AO60" si="84">SUM(AH60,AM60)</f>
        <v>6859.5036550000004</v>
      </c>
    </row>
    <row r="61" spans="1:41" ht="13.5" thickBot="1" x14ac:dyDescent="0.25">
      <c r="A61" s="12" t="s">
        <v>56</v>
      </c>
      <c r="C61" s="56"/>
      <c r="D61" s="57"/>
      <c r="E61" s="57"/>
      <c r="F61" s="57"/>
      <c r="G61" s="57"/>
      <c r="H61" s="58"/>
      <c r="I61" s="59"/>
      <c r="J61" s="60"/>
      <c r="K61" s="61"/>
      <c r="L61" s="59"/>
      <c r="M61" s="59"/>
      <c r="N61" s="85">
        <f t="shared" si="22"/>
        <v>0</v>
      </c>
      <c r="P61" s="59"/>
      <c r="Q61" s="56"/>
      <c r="R61" s="56"/>
      <c r="S61" s="56"/>
      <c r="T61" s="56"/>
      <c r="U61" s="85">
        <f t="shared" si="23"/>
        <v>0</v>
      </c>
      <c r="W61" s="56"/>
      <c r="X61" s="56"/>
      <c r="Y61" s="56"/>
      <c r="Z61" s="56"/>
      <c r="AA61" s="56"/>
      <c r="AB61" s="85">
        <f t="shared" si="24"/>
        <v>0</v>
      </c>
      <c r="AD61" s="56"/>
      <c r="AE61" s="56"/>
      <c r="AF61" s="85">
        <f t="shared" si="3"/>
        <v>0</v>
      </c>
      <c r="AH61" s="92">
        <f t="shared" si="4"/>
        <v>0</v>
      </c>
      <c r="AI61" s="32"/>
      <c r="AJ61" s="109"/>
      <c r="AK61" s="131">
        <v>0.5</v>
      </c>
      <c r="AL61" s="138">
        <v>0.5</v>
      </c>
      <c r="AM61" s="115">
        <f t="shared" si="5"/>
        <v>1</v>
      </c>
      <c r="AO61" s="92">
        <f t="shared" si="6"/>
        <v>1</v>
      </c>
    </row>
    <row r="62" spans="1:41" ht="13.5" thickBot="1" x14ac:dyDescent="0.25">
      <c r="A62" s="13" t="s">
        <v>57</v>
      </c>
      <c r="C62" s="62">
        <f t="shared" ref="C62:N62" si="85">SUM(C7:C61)</f>
        <v>4.4634</v>
      </c>
      <c r="D62" s="62">
        <f t="shared" si="85"/>
        <v>93.086564390000007</v>
      </c>
      <c r="E62" s="62">
        <f t="shared" si="85"/>
        <v>106.25498396</v>
      </c>
      <c r="F62" s="62">
        <f t="shared" si="85"/>
        <v>110.91403173</v>
      </c>
      <c r="G62" s="62">
        <f t="shared" si="85"/>
        <v>160.39815135999999</v>
      </c>
      <c r="H62" s="62">
        <f t="shared" si="85"/>
        <v>274.92391606000001</v>
      </c>
      <c r="I62" s="62">
        <f t="shared" si="85"/>
        <v>216.20010949000005</v>
      </c>
      <c r="J62" s="62">
        <f t="shared" si="85"/>
        <v>282.29137800000001</v>
      </c>
      <c r="K62" s="62">
        <f t="shared" si="85"/>
        <v>269.32929425999998</v>
      </c>
      <c r="L62" s="62">
        <f t="shared" si="85"/>
        <v>255.98825982</v>
      </c>
      <c r="M62" s="62">
        <f t="shared" si="85"/>
        <v>252.64002400000001</v>
      </c>
      <c r="N62" s="101">
        <f t="shared" si="85"/>
        <v>2026.49011307</v>
      </c>
      <c r="P62" s="62">
        <f t="shared" ref="P62:U62" si="86">SUM(P7:P61)</f>
        <v>512.89099999999996</v>
      </c>
      <c r="Q62" s="62">
        <f t="shared" si="86"/>
        <v>615.20465434000005</v>
      </c>
      <c r="R62" s="62">
        <f t="shared" si="86"/>
        <v>994.33653315000004</v>
      </c>
      <c r="S62" s="62">
        <f t="shared" si="86"/>
        <v>920.80762834000006</v>
      </c>
      <c r="T62" s="62">
        <f t="shared" si="86"/>
        <v>1001.98051419</v>
      </c>
      <c r="U62" s="101">
        <f t="shared" si="86"/>
        <v>4045.2203300199999</v>
      </c>
      <c r="W62" s="62">
        <f t="shared" ref="W62:AB62" si="87">SUM(W7:W61)</f>
        <v>1173.2561867700001</v>
      </c>
      <c r="X62" s="62">
        <f t="shared" si="87"/>
        <v>1125.5441614700001</v>
      </c>
      <c r="Y62" s="62">
        <f t="shared" si="87"/>
        <v>1137.9701698325</v>
      </c>
      <c r="Z62" s="62">
        <f t="shared" si="87"/>
        <v>1280.0316882200002</v>
      </c>
      <c r="AA62" s="62">
        <f t="shared" si="87"/>
        <v>1150.7051543858161</v>
      </c>
      <c r="AB62" s="101">
        <f t="shared" si="87"/>
        <v>5867.5073606783162</v>
      </c>
      <c r="AD62" s="62">
        <f>SUM(AD7:AD61)</f>
        <v>863.96508089999998</v>
      </c>
      <c r="AE62" s="62">
        <f>SUM(AE7:AE61)</f>
        <v>1114.4340385719292</v>
      </c>
      <c r="AF62" s="101">
        <f>SUM(AF7:AF61)</f>
        <v>1978.3991194719292</v>
      </c>
      <c r="AH62" s="101">
        <f>SUM(AH7:AH61)</f>
        <v>13917.616923240246</v>
      </c>
      <c r="AI62" s="11"/>
      <c r="AJ62" s="108">
        <f>SUM(AJ7:AJ61)</f>
        <v>286.27033762999997</v>
      </c>
      <c r="AK62" s="132">
        <f>SUM(AK7:AK61)</f>
        <v>6716.6269531100006</v>
      </c>
      <c r="AL62" s="110">
        <f>SUM(AL7:AL61)</f>
        <v>1489.0393124</v>
      </c>
      <c r="AM62" s="110">
        <f>SUM(AM7:AM61)</f>
        <v>8491.9366031399986</v>
      </c>
      <c r="AO62" s="101">
        <f>SUM(AO7:AO61)</f>
        <v>22409.553526380245</v>
      </c>
    </row>
    <row r="63" spans="1:41" ht="13.5" thickBot="1" x14ac:dyDescent="0.25">
      <c r="A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P63" s="15"/>
      <c r="Q63" s="15"/>
      <c r="R63" s="15"/>
      <c r="S63" s="15"/>
      <c r="T63" s="15"/>
      <c r="U63" s="15"/>
      <c r="W63" s="63"/>
      <c r="X63" s="63"/>
      <c r="Y63" s="63"/>
      <c r="Z63" s="63"/>
      <c r="AA63" s="63"/>
      <c r="AB63" s="15"/>
      <c r="AD63" s="63"/>
      <c r="AE63" s="63"/>
      <c r="AF63" s="15"/>
      <c r="AH63" s="15"/>
      <c r="AI63" s="11"/>
      <c r="AJ63" s="15"/>
      <c r="AK63" s="104"/>
      <c r="AL63" s="104"/>
      <c r="AM63" s="15"/>
      <c r="AO63" s="15"/>
    </row>
    <row r="64" spans="1:41" ht="13.5" thickBot="1" x14ac:dyDescent="0.25">
      <c r="A64" s="38" t="s">
        <v>58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86">
        <f t="shared" ref="N64:N65" si="88">SUM(C64:M64)</f>
        <v>0</v>
      </c>
      <c r="P64" s="65"/>
      <c r="Q64" s="65"/>
      <c r="R64" s="65"/>
      <c r="S64" s="65"/>
      <c r="T64" s="65"/>
      <c r="U64" s="86">
        <f t="shared" ref="U64:U65" si="89">SUM(P64:T64)</f>
        <v>0</v>
      </c>
      <c r="W64" s="65"/>
      <c r="X64" s="65"/>
      <c r="Y64" s="65"/>
      <c r="Z64" s="65"/>
      <c r="AA64" s="65"/>
      <c r="AB64" s="86">
        <f t="shared" ref="AB64:AB65" si="90">SUM(W64:AA64)</f>
        <v>0</v>
      </c>
      <c r="AD64" s="65"/>
      <c r="AE64" s="65"/>
      <c r="AF64" s="86">
        <f t="shared" ref="AF64:AF123" si="91">SUM(AD64:AE64)</f>
        <v>0</v>
      </c>
      <c r="AH64" s="93">
        <f t="shared" ref="AH64:AH123" si="92">SUM(AB64,U64,N64,AF64)</f>
        <v>0</v>
      </c>
      <c r="AI64" s="32"/>
      <c r="AJ64" s="105"/>
      <c r="AK64" s="129">
        <v>0.1</v>
      </c>
      <c r="AL64" s="136"/>
      <c r="AM64" s="112">
        <f t="shared" ref="AM64:AM123" si="93">SUM(AJ64:AL64)</f>
        <v>0.1</v>
      </c>
      <c r="AO64" s="93">
        <f t="shared" ref="AO64:AO65" si="94">SUM(AH64,AM64)</f>
        <v>0.1</v>
      </c>
    </row>
    <row r="65" spans="1:41" ht="13.5" thickBot="1" x14ac:dyDescent="0.25">
      <c r="A65" s="16" t="s">
        <v>59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87">
        <f t="shared" si="88"/>
        <v>0</v>
      </c>
      <c r="P65" s="67"/>
      <c r="Q65" s="67"/>
      <c r="R65" s="67"/>
      <c r="S65" s="67"/>
      <c r="T65" s="67"/>
      <c r="U65" s="87">
        <f t="shared" si="89"/>
        <v>0</v>
      </c>
      <c r="W65" s="36"/>
      <c r="X65" s="36"/>
      <c r="Y65" s="36"/>
      <c r="Z65" s="36"/>
      <c r="AA65" s="68"/>
      <c r="AB65" s="87">
        <f t="shared" si="90"/>
        <v>0</v>
      </c>
      <c r="AD65" s="68"/>
      <c r="AE65" s="68"/>
      <c r="AF65" s="87">
        <f t="shared" si="91"/>
        <v>0</v>
      </c>
      <c r="AH65" s="94">
        <f t="shared" si="92"/>
        <v>0</v>
      </c>
      <c r="AI65" s="32"/>
      <c r="AJ65" s="106"/>
      <c r="AK65" s="130">
        <v>0.25</v>
      </c>
      <c r="AL65" s="137"/>
      <c r="AM65" s="113">
        <f t="shared" si="93"/>
        <v>0.25</v>
      </c>
      <c r="AO65" s="94">
        <f t="shared" si="94"/>
        <v>0.25</v>
      </c>
    </row>
    <row r="66" spans="1:41" ht="13.5" thickBot="1" x14ac:dyDescent="0.25">
      <c r="A66" s="16" t="s">
        <v>60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87">
        <f t="shared" ref="N66:N123" si="95">SUM(C66:M66)</f>
        <v>0</v>
      </c>
      <c r="P66" s="67"/>
      <c r="Q66" s="67"/>
      <c r="R66" s="67"/>
      <c r="S66" s="67"/>
      <c r="T66" s="67"/>
      <c r="U66" s="87">
        <f t="shared" ref="U66:U123" si="96">SUM(P66:T66)</f>
        <v>0</v>
      </c>
      <c r="W66" s="36"/>
      <c r="X66" s="36"/>
      <c r="Y66" s="36"/>
      <c r="Z66" s="36">
        <f>0.35+0.35</f>
        <v>0.7</v>
      </c>
      <c r="AA66" s="68">
        <v>0.3</v>
      </c>
      <c r="AB66" s="87">
        <f t="shared" ref="AB66:AB123" si="97">SUM(W66:AA66)</f>
        <v>1</v>
      </c>
      <c r="AD66" s="68"/>
      <c r="AE66" s="68"/>
      <c r="AF66" s="87">
        <f t="shared" si="91"/>
        <v>0</v>
      </c>
      <c r="AH66" s="94">
        <f t="shared" si="92"/>
        <v>1</v>
      </c>
      <c r="AI66" s="32"/>
      <c r="AJ66" s="106"/>
      <c r="AK66" s="130"/>
      <c r="AL66" s="137"/>
      <c r="AM66" s="113">
        <f t="shared" si="93"/>
        <v>0</v>
      </c>
      <c r="AO66" s="94">
        <f t="shared" ref="AO66:AO123" si="98">SUM(AH66,AM66)</f>
        <v>1</v>
      </c>
    </row>
    <row r="67" spans="1:41" ht="13.5" thickBot="1" x14ac:dyDescent="0.25">
      <c r="A67" s="16" t="s">
        <v>61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87">
        <f t="shared" si="95"/>
        <v>0</v>
      </c>
      <c r="P67" s="67"/>
      <c r="Q67" s="67"/>
      <c r="R67" s="67"/>
      <c r="S67" s="67"/>
      <c r="T67" s="67"/>
      <c r="U67" s="87">
        <f t="shared" si="96"/>
        <v>0</v>
      </c>
      <c r="W67" s="36">
        <v>0.20119999999999999</v>
      </c>
      <c r="X67" s="36">
        <v>0.20119999999999999</v>
      </c>
      <c r="Y67" s="36">
        <v>0.20119999999999999</v>
      </c>
      <c r="Z67" s="36">
        <v>0.20119999999999999</v>
      </c>
      <c r="AA67" s="68">
        <f>2+0.2012</f>
        <v>2.2012</v>
      </c>
      <c r="AB67" s="87">
        <f t="shared" si="97"/>
        <v>3.0060000000000002</v>
      </c>
      <c r="AD67" s="68">
        <v>1</v>
      </c>
      <c r="AE67" s="68"/>
      <c r="AF67" s="87">
        <f t="shared" si="91"/>
        <v>1</v>
      </c>
      <c r="AH67" s="94">
        <f t="shared" si="92"/>
        <v>4.0060000000000002</v>
      </c>
      <c r="AI67" s="32"/>
      <c r="AJ67" s="106"/>
      <c r="AK67" s="130"/>
      <c r="AL67" s="137"/>
      <c r="AM67" s="113">
        <f t="shared" si="93"/>
        <v>0</v>
      </c>
      <c r="AO67" s="94">
        <f t="shared" si="98"/>
        <v>4.0060000000000002</v>
      </c>
    </row>
    <row r="68" spans="1:41" ht="13.5" thickBot="1" x14ac:dyDescent="0.25">
      <c r="A68" s="16" t="s">
        <v>62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87">
        <f t="shared" ref="N68" si="99">SUM(C68:M68)</f>
        <v>0</v>
      </c>
      <c r="P68" s="67"/>
      <c r="Q68" s="67"/>
      <c r="R68" s="67"/>
      <c r="S68" s="67"/>
      <c r="T68" s="67"/>
      <c r="U68" s="87">
        <f t="shared" ref="U68" si="100">SUM(P68:T68)</f>
        <v>0</v>
      </c>
      <c r="W68" s="36"/>
      <c r="X68" s="36"/>
      <c r="Y68" s="36"/>
      <c r="Z68" s="36"/>
      <c r="AA68" s="68"/>
      <c r="AB68" s="87">
        <f t="shared" ref="AB68" si="101">SUM(W68:AA68)</f>
        <v>0</v>
      </c>
      <c r="AD68" s="68"/>
      <c r="AE68" s="68"/>
      <c r="AF68" s="87">
        <f>SUM(AD68:AE68)</f>
        <v>0</v>
      </c>
      <c r="AH68" s="94">
        <f>SUM(AB68,U68,N68,AF68)</f>
        <v>0</v>
      </c>
      <c r="AI68" s="32"/>
      <c r="AJ68" s="106"/>
      <c r="AK68" s="130">
        <v>0.65495000000000003</v>
      </c>
      <c r="AL68" s="137"/>
      <c r="AM68" s="113">
        <f>SUM(AJ68:AL68)</f>
        <v>0.65495000000000003</v>
      </c>
      <c r="AO68" s="94">
        <f t="shared" ref="AO68" si="102">SUM(AH68,AM68)</f>
        <v>0.65495000000000003</v>
      </c>
    </row>
    <row r="69" spans="1:41" ht="13.5" thickBot="1" x14ac:dyDescent="0.25">
      <c r="A69" s="16" t="s">
        <v>63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7">
        <f t="shared" ref="N69" si="103">SUM(C69:M69)</f>
        <v>0</v>
      </c>
      <c r="P69" s="67"/>
      <c r="Q69" s="67"/>
      <c r="R69" s="67"/>
      <c r="S69" s="67"/>
      <c r="T69" s="67"/>
      <c r="U69" s="87">
        <f t="shared" ref="U69" si="104">SUM(P69:T69)</f>
        <v>0</v>
      </c>
      <c r="W69" s="36"/>
      <c r="X69" s="36"/>
      <c r="Y69" s="36"/>
      <c r="Z69" s="36"/>
      <c r="AA69" s="68"/>
      <c r="AB69" s="87">
        <f t="shared" ref="AB69" si="105">SUM(W69:AA69)</f>
        <v>0</v>
      </c>
      <c r="AD69" s="68">
        <v>0.55156000000000005</v>
      </c>
      <c r="AE69" s="68">
        <v>0.43956623</v>
      </c>
      <c r="AF69" s="87">
        <f t="shared" ref="AF69" si="106">SUM(AD69:AE69)</f>
        <v>0.99112623000000011</v>
      </c>
      <c r="AH69" s="94">
        <f t="shared" ref="AH69" si="107">SUM(AB69,U69,N69,AF69)</f>
        <v>0.99112623000000011</v>
      </c>
      <c r="AI69" s="32"/>
      <c r="AJ69" s="106"/>
      <c r="AK69" s="130"/>
      <c r="AL69" s="137"/>
      <c r="AM69" s="113">
        <f t="shared" ref="AM69" si="108">SUM(AJ69:AL69)</f>
        <v>0</v>
      </c>
      <c r="AO69" s="94">
        <f t="shared" ref="AO69" si="109">SUM(AH69,AM69)</f>
        <v>0.99112623000000011</v>
      </c>
    </row>
    <row r="70" spans="1:41" ht="13.5" thickBot="1" x14ac:dyDescent="0.25">
      <c r="A70" s="16" t="s">
        <v>64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7">
        <f t="shared" si="95"/>
        <v>0</v>
      </c>
      <c r="P70" s="67"/>
      <c r="Q70" s="67"/>
      <c r="R70" s="67"/>
      <c r="S70" s="67"/>
      <c r="T70" s="67"/>
      <c r="U70" s="87">
        <f t="shared" si="96"/>
        <v>0</v>
      </c>
      <c r="W70" s="36"/>
      <c r="X70" s="36"/>
      <c r="Y70" s="36"/>
      <c r="Z70" s="36"/>
      <c r="AA70" s="68"/>
      <c r="AB70" s="87">
        <f t="shared" si="97"/>
        <v>0</v>
      </c>
      <c r="AD70" s="68"/>
      <c r="AE70" s="68"/>
      <c r="AF70" s="87">
        <f t="shared" si="91"/>
        <v>0</v>
      </c>
      <c r="AH70" s="94">
        <f t="shared" si="92"/>
        <v>0</v>
      </c>
      <c r="AI70" s="32"/>
      <c r="AJ70" s="106"/>
      <c r="AK70" s="130">
        <f>0.05+1.45</f>
        <v>1.5</v>
      </c>
      <c r="AL70" s="137"/>
      <c r="AM70" s="113">
        <f t="shared" si="93"/>
        <v>1.5</v>
      </c>
      <c r="AO70" s="94">
        <f t="shared" si="98"/>
        <v>1.5</v>
      </c>
    </row>
    <row r="71" spans="1:41" ht="13.5" thickBot="1" x14ac:dyDescent="0.25">
      <c r="A71" s="16" t="s">
        <v>65</v>
      </c>
      <c r="C71" s="66">
        <v>325</v>
      </c>
      <c r="D71" s="66">
        <v>425</v>
      </c>
      <c r="E71" s="66"/>
      <c r="F71" s="66">
        <v>3.5</v>
      </c>
      <c r="G71" s="66">
        <v>5</v>
      </c>
      <c r="H71" s="66">
        <v>154.33799999999999</v>
      </c>
      <c r="I71" s="66"/>
      <c r="J71" s="66">
        <v>75</v>
      </c>
      <c r="K71" s="66">
        <v>75</v>
      </c>
      <c r="L71" s="66">
        <v>75</v>
      </c>
      <c r="M71" s="66">
        <v>75</v>
      </c>
      <c r="N71" s="87">
        <f t="shared" si="95"/>
        <v>1212.838</v>
      </c>
      <c r="P71" s="67">
        <v>264.10000000000002</v>
      </c>
      <c r="Q71" s="67">
        <v>268.8</v>
      </c>
      <c r="R71" s="67">
        <v>283.10000000000002</v>
      </c>
      <c r="S71" s="67">
        <f>75+100.6+50</f>
        <v>225.6</v>
      </c>
      <c r="T71" s="67">
        <v>245</v>
      </c>
      <c r="U71" s="87">
        <f t="shared" si="96"/>
        <v>1286.6000000000001</v>
      </c>
      <c r="W71" s="68">
        <f>260+14.6048+2.8952+2.5</f>
        <v>280</v>
      </c>
      <c r="X71" s="68">
        <f>300+13.7578+2.5+3.7422</f>
        <v>320</v>
      </c>
      <c r="Y71" s="68">
        <f>325+15</f>
        <v>340</v>
      </c>
      <c r="Z71" s="68">
        <f>300+15+1.544372</f>
        <v>316.54437200000001</v>
      </c>
      <c r="AA71" s="68">
        <f>290+5</f>
        <v>295</v>
      </c>
      <c r="AB71" s="87">
        <f t="shared" si="97"/>
        <v>1551.5443720000001</v>
      </c>
      <c r="AD71" s="68">
        <f>210+0.45</f>
        <v>210.45</v>
      </c>
      <c r="AE71" s="68">
        <f>340+0.504378</f>
        <v>340.50437799999997</v>
      </c>
      <c r="AF71" s="87">
        <f t="shared" si="91"/>
        <v>550.95437799999991</v>
      </c>
      <c r="AH71" s="94">
        <f t="shared" si="92"/>
        <v>4601.9367500000008</v>
      </c>
      <c r="AI71" s="32"/>
      <c r="AJ71" s="106"/>
      <c r="AK71" s="130">
        <f>150+50+6.25</f>
        <v>206.25</v>
      </c>
      <c r="AL71" s="137"/>
      <c r="AM71" s="113">
        <f t="shared" si="93"/>
        <v>206.25</v>
      </c>
      <c r="AO71" s="94">
        <f t="shared" si="98"/>
        <v>4808.1867500000008</v>
      </c>
    </row>
    <row r="72" spans="1:41" ht="13.5" thickBot="1" x14ac:dyDescent="0.25">
      <c r="A72" s="16" t="s">
        <v>66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87">
        <f t="shared" ref="N72:N78" si="110">SUM(C72:M72)</f>
        <v>0</v>
      </c>
      <c r="P72" s="67"/>
      <c r="Q72" s="67"/>
      <c r="R72" s="67"/>
      <c r="S72" s="67"/>
      <c r="T72" s="67"/>
      <c r="U72" s="87">
        <f t="shared" ref="U72:U78" si="111">SUM(P72:T72)</f>
        <v>0</v>
      </c>
      <c r="W72" s="36"/>
      <c r="X72" s="36"/>
      <c r="Y72" s="36"/>
      <c r="Z72" s="36"/>
      <c r="AA72" s="68"/>
      <c r="AB72" s="87">
        <f t="shared" ref="AB72:AB78" si="112">SUM(W72:AA72)</f>
        <v>0</v>
      </c>
      <c r="AD72" s="68"/>
      <c r="AE72" s="68"/>
      <c r="AF72" s="87">
        <f t="shared" si="91"/>
        <v>0</v>
      </c>
      <c r="AH72" s="94">
        <f t="shared" si="92"/>
        <v>0</v>
      </c>
      <c r="AI72" s="32"/>
      <c r="AJ72" s="106"/>
      <c r="AK72" s="130">
        <v>0.15115912000000001</v>
      </c>
      <c r="AL72" s="137"/>
      <c r="AM72" s="113">
        <f t="shared" si="93"/>
        <v>0.15115912000000001</v>
      </c>
      <c r="AO72" s="94">
        <f t="shared" ref="AO72:AO78" si="113">SUM(AH72,AM72)</f>
        <v>0.15115912000000001</v>
      </c>
    </row>
    <row r="73" spans="1:41" ht="13.5" thickBot="1" x14ac:dyDescent="0.25">
      <c r="A73" s="16" t="s">
        <v>67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87">
        <f t="shared" si="110"/>
        <v>0</v>
      </c>
      <c r="P73" s="67"/>
      <c r="Q73" s="67"/>
      <c r="R73" s="67"/>
      <c r="S73" s="67"/>
      <c r="T73" s="67"/>
      <c r="U73" s="87">
        <f t="shared" si="111"/>
        <v>0</v>
      </c>
      <c r="W73" s="36"/>
      <c r="X73" s="36"/>
      <c r="Y73" s="36"/>
      <c r="Z73" s="36"/>
      <c r="AA73" s="68"/>
      <c r="AB73" s="87">
        <f t="shared" si="112"/>
        <v>0</v>
      </c>
      <c r="AD73" s="68"/>
      <c r="AE73" s="68"/>
      <c r="AF73" s="87">
        <f t="shared" si="91"/>
        <v>0</v>
      </c>
      <c r="AH73" s="94">
        <f t="shared" si="92"/>
        <v>0</v>
      </c>
      <c r="AI73" s="32"/>
      <c r="AJ73" s="106"/>
      <c r="AK73" s="130">
        <v>0.25</v>
      </c>
      <c r="AL73" s="137"/>
      <c r="AM73" s="113">
        <f t="shared" si="93"/>
        <v>0.25</v>
      </c>
      <c r="AO73" s="94">
        <f t="shared" si="113"/>
        <v>0.25</v>
      </c>
    </row>
    <row r="74" spans="1:41" ht="13.5" thickBot="1" x14ac:dyDescent="0.25">
      <c r="A74" s="16" t="s">
        <v>68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87">
        <f t="shared" si="110"/>
        <v>0</v>
      </c>
      <c r="P74" s="67"/>
      <c r="Q74" s="67"/>
      <c r="R74" s="67"/>
      <c r="S74" s="67"/>
      <c r="T74" s="67"/>
      <c r="U74" s="87">
        <f t="shared" si="111"/>
        <v>0</v>
      </c>
      <c r="W74" s="36"/>
      <c r="X74" s="36"/>
      <c r="Y74" s="36"/>
      <c r="Z74" s="36"/>
      <c r="AA74" s="68"/>
      <c r="AB74" s="87">
        <f t="shared" si="112"/>
        <v>0</v>
      </c>
      <c r="AD74" s="68"/>
      <c r="AE74" s="68"/>
      <c r="AF74" s="87">
        <f t="shared" si="91"/>
        <v>0</v>
      </c>
      <c r="AH74" s="94">
        <f t="shared" si="92"/>
        <v>0</v>
      </c>
      <c r="AI74" s="32"/>
      <c r="AJ74" s="106"/>
      <c r="AK74" s="130">
        <f>0.59467859+0.02277043</f>
        <v>0.61744902000000002</v>
      </c>
      <c r="AL74" s="137"/>
      <c r="AM74" s="113">
        <f t="shared" si="93"/>
        <v>0.61744902000000002</v>
      </c>
      <c r="AO74" s="94">
        <f t="shared" si="113"/>
        <v>0.61744902000000002</v>
      </c>
    </row>
    <row r="75" spans="1:41" ht="13.5" thickBot="1" x14ac:dyDescent="0.25">
      <c r="A75" s="16" t="s">
        <v>69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87">
        <f t="shared" ref="N75" si="114">SUM(C75:M75)</f>
        <v>0</v>
      </c>
      <c r="P75" s="67"/>
      <c r="Q75" s="67"/>
      <c r="R75" s="67"/>
      <c r="S75" s="67"/>
      <c r="T75" s="67"/>
      <c r="U75" s="87">
        <f t="shared" ref="U75" si="115">SUM(P75:T75)</f>
        <v>0</v>
      </c>
      <c r="W75" s="36"/>
      <c r="X75" s="36"/>
      <c r="Y75" s="36"/>
      <c r="Z75" s="36"/>
      <c r="AA75" s="68"/>
      <c r="AB75" s="87">
        <f t="shared" ref="AB75" si="116">SUM(W75:AA75)</f>
        <v>0</v>
      </c>
      <c r="AD75" s="68"/>
      <c r="AE75" s="68"/>
      <c r="AF75" s="87">
        <f t="shared" si="91"/>
        <v>0</v>
      </c>
      <c r="AH75" s="94">
        <f t="shared" si="92"/>
        <v>0</v>
      </c>
      <c r="AI75" s="32"/>
      <c r="AJ75" s="106"/>
      <c r="AK75" s="130">
        <v>5</v>
      </c>
      <c r="AL75" s="137"/>
      <c r="AM75" s="113">
        <f t="shared" si="93"/>
        <v>5</v>
      </c>
      <c r="AO75" s="94">
        <f t="shared" ref="AO75" si="117">SUM(AH75,AM75)</f>
        <v>5</v>
      </c>
    </row>
    <row r="76" spans="1:41" ht="13.5" thickBot="1" x14ac:dyDescent="0.25">
      <c r="A76" s="16" t="s">
        <v>70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87">
        <f>SUM(C76:M76)</f>
        <v>0</v>
      </c>
      <c r="P76" s="67"/>
      <c r="Q76" s="67"/>
      <c r="R76" s="67"/>
      <c r="S76" s="67"/>
      <c r="T76" s="67"/>
      <c r="U76" s="87">
        <f>SUM(P76:T76)</f>
        <v>0</v>
      </c>
      <c r="W76" s="36"/>
      <c r="X76" s="36"/>
      <c r="Y76" s="36"/>
      <c r="Z76" s="36"/>
      <c r="AA76" s="68"/>
      <c r="AB76" s="87">
        <f>SUM(W76:AA76)</f>
        <v>0</v>
      </c>
      <c r="AD76" s="68"/>
      <c r="AE76" s="68"/>
      <c r="AF76" s="87">
        <f t="shared" si="91"/>
        <v>0</v>
      </c>
      <c r="AH76" s="94">
        <f t="shared" si="92"/>
        <v>0</v>
      </c>
      <c r="AI76" s="32"/>
      <c r="AJ76" s="106"/>
      <c r="AK76" s="130">
        <v>0.5</v>
      </c>
      <c r="AL76" s="137"/>
      <c r="AM76" s="113">
        <f t="shared" si="93"/>
        <v>0.5</v>
      </c>
      <c r="AO76" s="94">
        <f>SUM(AH76,AM76)</f>
        <v>0.5</v>
      </c>
    </row>
    <row r="77" spans="1:41" ht="13.5" thickBot="1" x14ac:dyDescent="0.25">
      <c r="A77" s="16" t="s">
        <v>71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87">
        <f t="shared" ref="N77" si="118">SUM(C77:M77)</f>
        <v>0</v>
      </c>
      <c r="P77" s="67"/>
      <c r="Q77" s="67"/>
      <c r="R77" s="67"/>
      <c r="S77" s="67"/>
      <c r="T77" s="67"/>
      <c r="U77" s="87">
        <f t="shared" ref="U77" si="119">SUM(P77:T77)</f>
        <v>0</v>
      </c>
      <c r="W77" s="36"/>
      <c r="X77" s="36"/>
      <c r="Y77" s="36"/>
      <c r="Z77" s="36"/>
      <c r="AA77" s="68"/>
      <c r="AB77" s="87">
        <f t="shared" ref="AB77" si="120">SUM(W77:AA77)</f>
        <v>0</v>
      </c>
      <c r="AD77" s="68"/>
      <c r="AE77" s="68"/>
      <c r="AF77" s="87">
        <f t="shared" ref="AF77" si="121">SUM(AD77:AE77)</f>
        <v>0</v>
      </c>
      <c r="AH77" s="94">
        <f t="shared" ref="AH77" si="122">SUM(AB77,U77,N77,AF77)</f>
        <v>0</v>
      </c>
      <c r="AI77" s="32"/>
      <c r="AJ77" s="106"/>
      <c r="AK77" s="130">
        <v>0.05</v>
      </c>
      <c r="AL77" s="137">
        <v>0.24644740000000001</v>
      </c>
      <c r="AM77" s="113">
        <f t="shared" ref="AM77" si="123">SUM(AJ77:AL77)</f>
        <v>0.29644740000000003</v>
      </c>
      <c r="AO77" s="94">
        <f t="shared" ref="AO77" si="124">SUM(AH77,AM77)</f>
        <v>0.29644740000000003</v>
      </c>
    </row>
    <row r="78" spans="1:41" ht="26.25" thickBot="1" x14ac:dyDescent="0.25">
      <c r="A78" s="16" t="s">
        <v>72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7">
        <f t="shared" si="110"/>
        <v>0</v>
      </c>
      <c r="P78" s="67"/>
      <c r="Q78" s="67"/>
      <c r="R78" s="67"/>
      <c r="S78" s="67"/>
      <c r="T78" s="67"/>
      <c r="U78" s="87">
        <f t="shared" si="111"/>
        <v>0</v>
      </c>
      <c r="W78" s="36"/>
      <c r="X78" s="36"/>
      <c r="Y78" s="36"/>
      <c r="Z78" s="36"/>
      <c r="AA78" s="68"/>
      <c r="AB78" s="87">
        <f t="shared" si="112"/>
        <v>0</v>
      </c>
      <c r="AD78" s="68"/>
      <c r="AE78" s="68"/>
      <c r="AF78" s="87">
        <f t="shared" si="91"/>
        <v>0</v>
      </c>
      <c r="AH78" s="94">
        <f t="shared" si="92"/>
        <v>0</v>
      </c>
      <c r="AI78" s="32"/>
      <c r="AJ78" s="106"/>
      <c r="AK78" s="130">
        <v>0.1</v>
      </c>
      <c r="AL78" s="137"/>
      <c r="AM78" s="113">
        <f t="shared" si="93"/>
        <v>0.1</v>
      </c>
      <c r="AO78" s="94">
        <f t="shared" si="113"/>
        <v>0.1</v>
      </c>
    </row>
    <row r="79" spans="1:41" ht="13.5" thickBot="1" x14ac:dyDescent="0.25">
      <c r="A79" s="16" t="s">
        <v>122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87">
        <f t="shared" ref="N79" si="125">SUM(C79:M79)</f>
        <v>0</v>
      </c>
      <c r="P79" s="67"/>
      <c r="Q79" s="67"/>
      <c r="R79" s="67"/>
      <c r="S79" s="67"/>
      <c r="T79" s="67"/>
      <c r="U79" s="87">
        <f t="shared" ref="U79" si="126">SUM(P79:T79)</f>
        <v>0</v>
      </c>
      <c r="W79" s="36"/>
      <c r="X79" s="36"/>
      <c r="Y79" s="36"/>
      <c r="Z79" s="36"/>
      <c r="AA79" s="68"/>
      <c r="AB79" s="87">
        <f t="shared" ref="AB79" si="127">SUM(W79:AA79)</f>
        <v>0</v>
      </c>
      <c r="AD79" s="68"/>
      <c r="AE79" s="68"/>
      <c r="AF79" s="87">
        <f t="shared" ref="AF79" si="128">SUM(AD79:AE79)</f>
        <v>0</v>
      </c>
      <c r="AH79" s="94">
        <f t="shared" ref="AH79" si="129">SUM(AB79,U79,N79,AF79)</f>
        <v>0</v>
      </c>
      <c r="AI79" s="32"/>
      <c r="AJ79" s="106"/>
      <c r="AK79" s="130"/>
      <c r="AL79" s="137">
        <v>0.23205000000000001</v>
      </c>
      <c r="AM79" s="113">
        <f t="shared" ref="AM79" si="130">SUM(AJ79:AL79)</f>
        <v>0.23205000000000001</v>
      </c>
      <c r="AO79" s="94">
        <f t="shared" ref="AO79" si="131">SUM(AH79,AM79)</f>
        <v>0.23205000000000001</v>
      </c>
    </row>
    <row r="80" spans="1:41" ht="13.5" thickBot="1" x14ac:dyDescent="0.25">
      <c r="A80" s="16" t="s">
        <v>73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87">
        <f t="shared" ref="N80" si="132">SUM(C80:M80)</f>
        <v>0</v>
      </c>
      <c r="P80" s="67"/>
      <c r="Q80" s="67"/>
      <c r="R80" s="67"/>
      <c r="S80" s="67"/>
      <c r="T80" s="67"/>
      <c r="U80" s="87">
        <f t="shared" ref="U80" si="133">SUM(P80:T80)</f>
        <v>0</v>
      </c>
      <c r="W80" s="36"/>
      <c r="X80" s="36"/>
      <c r="Y80" s="36"/>
      <c r="Z80" s="36"/>
      <c r="AA80" s="68"/>
      <c r="AB80" s="87">
        <f t="shared" ref="AB80" si="134">SUM(W80:AA80)</f>
        <v>0</v>
      </c>
      <c r="AD80" s="68"/>
      <c r="AE80" s="68"/>
      <c r="AF80" s="87">
        <f t="shared" si="91"/>
        <v>0</v>
      </c>
      <c r="AH80" s="94">
        <f t="shared" si="92"/>
        <v>0</v>
      </c>
      <c r="AI80" s="32"/>
      <c r="AJ80" s="106"/>
      <c r="AK80" s="130">
        <v>0.1</v>
      </c>
      <c r="AL80" s="137"/>
      <c r="AM80" s="113">
        <f t="shared" si="93"/>
        <v>0.1</v>
      </c>
      <c r="AO80" s="94">
        <f t="shared" si="98"/>
        <v>0.1</v>
      </c>
    </row>
    <row r="81" spans="1:41" ht="26.25" customHeight="1" thickBot="1" x14ac:dyDescent="0.25">
      <c r="A81" s="34" t="s">
        <v>74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87">
        <f t="shared" si="95"/>
        <v>0</v>
      </c>
      <c r="P81" s="67"/>
      <c r="Q81" s="67"/>
      <c r="R81" s="67"/>
      <c r="S81" s="67">
        <f>0.8+1.2</f>
        <v>2</v>
      </c>
      <c r="T81" s="68"/>
      <c r="U81" s="87">
        <f t="shared" si="96"/>
        <v>2</v>
      </c>
      <c r="W81" s="68"/>
      <c r="X81" s="68"/>
      <c r="Y81" s="68">
        <v>0.855078</v>
      </c>
      <c r="Z81" s="68"/>
      <c r="AA81" s="68">
        <v>0.31638899999999998</v>
      </c>
      <c r="AB81" s="87">
        <f t="shared" si="97"/>
        <v>1.171467</v>
      </c>
      <c r="AD81" s="68">
        <v>0.60479499999999997</v>
      </c>
      <c r="AE81" s="68"/>
      <c r="AF81" s="87">
        <f t="shared" si="91"/>
        <v>0.60479499999999997</v>
      </c>
      <c r="AH81" s="94">
        <f t="shared" si="92"/>
        <v>3.776262</v>
      </c>
      <c r="AI81" s="32"/>
      <c r="AJ81" s="106"/>
      <c r="AK81" s="130"/>
      <c r="AL81" s="137"/>
      <c r="AM81" s="113">
        <f t="shared" si="93"/>
        <v>0</v>
      </c>
      <c r="AO81" s="94">
        <f t="shared" si="98"/>
        <v>3.776262</v>
      </c>
    </row>
    <row r="82" spans="1:41" ht="13.5" thickBot="1" x14ac:dyDescent="0.25">
      <c r="A82" s="16" t="s">
        <v>75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87">
        <f t="shared" si="95"/>
        <v>0</v>
      </c>
      <c r="P82" s="67"/>
      <c r="Q82" s="67"/>
      <c r="R82" s="67"/>
      <c r="S82" s="67"/>
      <c r="T82" s="67"/>
      <c r="U82" s="87">
        <f t="shared" si="96"/>
        <v>0</v>
      </c>
      <c r="W82" s="36"/>
      <c r="X82" s="36"/>
      <c r="Y82" s="36"/>
      <c r="Z82" s="36"/>
      <c r="AA82" s="68"/>
      <c r="AB82" s="87">
        <f t="shared" si="97"/>
        <v>0</v>
      </c>
      <c r="AD82" s="68"/>
      <c r="AE82" s="68"/>
      <c r="AF82" s="87">
        <f t="shared" si="91"/>
        <v>0</v>
      </c>
      <c r="AH82" s="94">
        <f t="shared" si="92"/>
        <v>0</v>
      </c>
      <c r="AI82" s="32"/>
      <c r="AJ82" s="106"/>
      <c r="AK82" s="130">
        <v>0.23271384000000001</v>
      </c>
      <c r="AL82" s="137"/>
      <c r="AM82" s="113">
        <f t="shared" si="93"/>
        <v>0.23271384000000001</v>
      </c>
      <c r="AO82" s="94">
        <f t="shared" si="98"/>
        <v>0.23271384000000001</v>
      </c>
    </row>
    <row r="83" spans="1:41" ht="13.5" thickBot="1" x14ac:dyDescent="0.25">
      <c r="A83" s="16" t="s">
        <v>76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87">
        <f t="shared" si="95"/>
        <v>0</v>
      </c>
      <c r="P83" s="67"/>
      <c r="Q83" s="67"/>
      <c r="R83" s="67"/>
      <c r="S83" s="67"/>
      <c r="T83" s="67"/>
      <c r="U83" s="87">
        <f t="shared" si="96"/>
        <v>0</v>
      </c>
      <c r="W83" s="36"/>
      <c r="X83" s="36"/>
      <c r="Y83" s="36"/>
      <c r="Z83" s="36"/>
      <c r="AA83" s="68"/>
      <c r="AB83" s="87">
        <f t="shared" si="97"/>
        <v>0</v>
      </c>
      <c r="AD83" s="68"/>
      <c r="AE83" s="68"/>
      <c r="AF83" s="87">
        <f t="shared" si="91"/>
        <v>0</v>
      </c>
      <c r="AH83" s="94">
        <f t="shared" si="92"/>
        <v>0</v>
      </c>
      <c r="AI83" s="32"/>
      <c r="AJ83" s="106"/>
      <c r="AK83" s="130">
        <v>0.125</v>
      </c>
      <c r="AL83" s="137"/>
      <c r="AM83" s="113">
        <f t="shared" si="93"/>
        <v>0.125</v>
      </c>
      <c r="AO83" s="94">
        <f t="shared" si="98"/>
        <v>0.125</v>
      </c>
    </row>
    <row r="84" spans="1:41" ht="13.5" thickBot="1" x14ac:dyDescent="0.25">
      <c r="A84" s="27" t="s">
        <v>77</v>
      </c>
      <c r="C84" s="42"/>
      <c r="D84" s="49"/>
      <c r="E84" s="42"/>
      <c r="F84" s="42"/>
      <c r="G84" s="49"/>
      <c r="H84" s="46"/>
      <c r="I84" s="42"/>
      <c r="J84" s="42"/>
      <c r="K84" s="47"/>
      <c r="L84" s="42"/>
      <c r="M84" s="42"/>
      <c r="N84" s="83">
        <f t="shared" ref="N84" si="135">SUM(C84:M84)</f>
        <v>0</v>
      </c>
      <c r="P84" s="42"/>
      <c r="Q84" s="48"/>
      <c r="R84" s="48"/>
      <c r="S84" s="48"/>
      <c r="T84" s="48"/>
      <c r="U84" s="83">
        <f t="shared" ref="U84" si="136">SUM(P84:T84)</f>
        <v>0</v>
      </c>
      <c r="W84" s="48"/>
      <c r="X84" s="48"/>
      <c r="Y84" s="48"/>
      <c r="Z84" s="48"/>
      <c r="AA84" s="48"/>
      <c r="AB84" s="83">
        <f t="shared" ref="AB84" si="137">SUM(W84:AA84)</f>
        <v>0</v>
      </c>
      <c r="AD84" s="48"/>
      <c r="AE84" s="48"/>
      <c r="AF84" s="83">
        <f t="shared" ref="AF84" si="138">SUM(AD84:AE84)</f>
        <v>0</v>
      </c>
      <c r="AH84" s="91">
        <f t="shared" ref="AH84" si="139">SUM(AB84,U84,N84,AF84)</f>
        <v>0</v>
      </c>
      <c r="AI84" s="32"/>
      <c r="AJ84" s="106"/>
      <c r="AK84" s="130">
        <v>1.3394999999999999</v>
      </c>
      <c r="AL84" s="137">
        <v>0.96499999999999997</v>
      </c>
      <c r="AM84" s="113">
        <f t="shared" ref="AM84" si="140">SUM(AJ84:AL84)</f>
        <v>2.3045</v>
      </c>
      <c r="AO84" s="91">
        <f>SUM(AH84,AM84)</f>
        <v>2.3045</v>
      </c>
    </row>
    <row r="85" spans="1:41" ht="13.5" thickBot="1" x14ac:dyDescent="0.25">
      <c r="A85" s="16" t="s">
        <v>78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87">
        <f t="shared" si="95"/>
        <v>0</v>
      </c>
      <c r="P85" s="67"/>
      <c r="Q85" s="67"/>
      <c r="R85" s="67"/>
      <c r="S85" s="67"/>
      <c r="T85" s="67"/>
      <c r="U85" s="87">
        <f t="shared" si="96"/>
        <v>0</v>
      </c>
      <c r="W85" s="36"/>
      <c r="X85" s="36"/>
      <c r="Y85" s="36"/>
      <c r="Z85" s="36"/>
      <c r="AA85" s="68"/>
      <c r="AB85" s="87">
        <f t="shared" si="97"/>
        <v>0</v>
      </c>
      <c r="AD85" s="68"/>
      <c r="AE85" s="68"/>
      <c r="AF85" s="87">
        <f t="shared" si="91"/>
        <v>0</v>
      </c>
      <c r="AH85" s="94">
        <f t="shared" si="92"/>
        <v>0</v>
      </c>
      <c r="AI85" s="32"/>
      <c r="AJ85" s="106"/>
      <c r="AK85" s="130">
        <v>18</v>
      </c>
      <c r="AL85" s="137"/>
      <c r="AM85" s="113">
        <f t="shared" si="93"/>
        <v>18</v>
      </c>
      <c r="AO85" s="94">
        <f t="shared" si="98"/>
        <v>18</v>
      </c>
    </row>
    <row r="86" spans="1:41" ht="13.5" thickBot="1" x14ac:dyDescent="0.25">
      <c r="A86" s="16" t="s">
        <v>79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87">
        <f t="shared" ref="N86" si="141">SUM(C86:M86)</f>
        <v>0</v>
      </c>
      <c r="P86" s="67"/>
      <c r="Q86" s="67"/>
      <c r="R86" s="67"/>
      <c r="S86" s="67"/>
      <c r="T86" s="67"/>
      <c r="U86" s="87">
        <f t="shared" ref="U86" si="142">SUM(P86:T86)</f>
        <v>0</v>
      </c>
      <c r="W86" s="36"/>
      <c r="X86" s="36"/>
      <c r="Y86" s="36"/>
      <c r="Z86" s="36"/>
      <c r="AA86" s="68"/>
      <c r="AB86" s="87">
        <f t="shared" ref="AB86" si="143">SUM(W86:AA86)</f>
        <v>0</v>
      </c>
      <c r="AD86" s="68"/>
      <c r="AE86" s="68"/>
      <c r="AF86" s="87">
        <f t="shared" ref="AF86" si="144">SUM(AD86:AE86)</f>
        <v>0</v>
      </c>
      <c r="AH86" s="94">
        <f t="shared" ref="AH86" si="145">SUM(AB86,U86,N86,AF86)</f>
        <v>0</v>
      </c>
      <c r="AI86" s="32"/>
      <c r="AJ86" s="106"/>
      <c r="AK86" s="130"/>
      <c r="AL86" s="137">
        <v>0.33614640000000001</v>
      </c>
      <c r="AM86" s="113">
        <f t="shared" ref="AM86" si="146">SUM(AJ86:AL86)</f>
        <v>0.33614640000000001</v>
      </c>
      <c r="AO86" s="94">
        <f t="shared" si="98"/>
        <v>0.33614640000000001</v>
      </c>
    </row>
    <row r="87" spans="1:41" ht="13.5" thickBot="1" x14ac:dyDescent="0.25">
      <c r="A87" s="16" t="s">
        <v>80</v>
      </c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87">
        <f t="shared" ref="N87" si="147">SUM(C87:M87)</f>
        <v>0</v>
      </c>
      <c r="P87" s="67"/>
      <c r="Q87" s="67"/>
      <c r="R87" s="67"/>
      <c r="S87" s="67"/>
      <c r="T87" s="67"/>
      <c r="U87" s="87">
        <f t="shared" ref="U87" si="148">SUM(P87:T87)</f>
        <v>0</v>
      </c>
      <c r="W87" s="36"/>
      <c r="X87" s="36"/>
      <c r="Y87" s="36"/>
      <c r="Z87" s="36"/>
      <c r="AA87" s="68"/>
      <c r="AB87" s="87">
        <f t="shared" ref="AB87" si="149">SUM(W87:AA87)</f>
        <v>0</v>
      </c>
      <c r="AD87" s="68"/>
      <c r="AE87" s="68"/>
      <c r="AF87" s="87">
        <f t="shared" si="91"/>
        <v>0</v>
      </c>
      <c r="AH87" s="94">
        <f t="shared" si="92"/>
        <v>0</v>
      </c>
      <c r="AI87" s="32"/>
      <c r="AJ87" s="106"/>
      <c r="AK87" s="130">
        <v>0.12868500999999999</v>
      </c>
      <c r="AL87" s="137"/>
      <c r="AM87" s="113">
        <f t="shared" si="93"/>
        <v>0.12868500999999999</v>
      </c>
      <c r="AO87" s="94">
        <f t="shared" ref="AO87" si="150">SUM(AH87,AM87)</f>
        <v>0.12868500999999999</v>
      </c>
    </row>
    <row r="88" spans="1:41" ht="13.5" thickBot="1" x14ac:dyDescent="0.25">
      <c r="A88" s="16" t="s">
        <v>81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87">
        <f t="shared" ref="N88" si="151">SUM(C88:M88)</f>
        <v>0</v>
      </c>
      <c r="P88" s="67"/>
      <c r="Q88" s="67"/>
      <c r="R88" s="67"/>
      <c r="S88" s="67"/>
      <c r="T88" s="67"/>
      <c r="U88" s="87">
        <f t="shared" ref="U88" si="152">SUM(P88:T88)</f>
        <v>0</v>
      </c>
      <c r="W88" s="36"/>
      <c r="X88" s="36"/>
      <c r="Y88" s="36"/>
      <c r="Z88" s="36"/>
      <c r="AA88" s="68"/>
      <c r="AB88" s="87">
        <f t="shared" ref="AB88" si="153">SUM(W88:AA88)</f>
        <v>0</v>
      </c>
      <c r="AD88" s="68"/>
      <c r="AE88" s="68">
        <v>0.25</v>
      </c>
      <c r="AF88" s="87">
        <f t="shared" si="91"/>
        <v>0.25</v>
      </c>
      <c r="AH88" s="94">
        <f t="shared" si="92"/>
        <v>0.25</v>
      </c>
      <c r="AI88" s="32"/>
      <c r="AJ88" s="106"/>
      <c r="AK88" s="130">
        <f>2.5+0.71415911+3.30583547+0.62702543</f>
        <v>7.1470200099999994</v>
      </c>
      <c r="AL88" s="137">
        <f>0.39332083+0.03903177</f>
        <v>0.43235260000000003</v>
      </c>
      <c r="AM88" s="113">
        <f t="shared" si="93"/>
        <v>7.5793726099999992</v>
      </c>
      <c r="AO88" s="94">
        <f t="shared" ref="AO88" si="154">SUM(AH88,AM88)</f>
        <v>7.8293726099999992</v>
      </c>
    </row>
    <row r="89" spans="1:41" ht="26.25" thickBot="1" x14ac:dyDescent="0.25">
      <c r="A89" s="16" t="s">
        <v>82</v>
      </c>
      <c r="C89" s="66"/>
      <c r="D89" s="66"/>
      <c r="E89" s="66"/>
      <c r="F89" s="66"/>
      <c r="G89" s="66"/>
      <c r="H89" s="66"/>
      <c r="I89" s="66"/>
      <c r="J89" s="69"/>
      <c r="K89" s="67"/>
      <c r="L89" s="67"/>
      <c r="M89" s="67"/>
      <c r="N89" s="88">
        <f t="shared" si="95"/>
        <v>0</v>
      </c>
      <c r="P89" s="67">
        <v>14.077608</v>
      </c>
      <c r="Q89" s="67">
        <v>8.8254854999999992</v>
      </c>
      <c r="R89" s="67">
        <v>10.096907</v>
      </c>
      <c r="S89" s="67"/>
      <c r="T89" s="68"/>
      <c r="U89" s="88">
        <f t="shared" si="96"/>
        <v>33.000000499999999</v>
      </c>
      <c r="W89" s="68"/>
      <c r="X89" s="68">
        <v>5</v>
      </c>
      <c r="Y89" s="68"/>
      <c r="Z89" s="68"/>
      <c r="AA89" s="68"/>
      <c r="AB89" s="88">
        <f t="shared" si="97"/>
        <v>5</v>
      </c>
      <c r="AD89" s="68"/>
      <c r="AE89" s="68"/>
      <c r="AF89" s="88">
        <f t="shared" si="91"/>
        <v>0</v>
      </c>
      <c r="AH89" s="94">
        <f t="shared" si="92"/>
        <v>38.000000499999999</v>
      </c>
      <c r="AI89" s="32"/>
      <c r="AJ89" s="106"/>
      <c r="AK89" s="130"/>
      <c r="AL89" s="137"/>
      <c r="AM89" s="113">
        <f t="shared" si="93"/>
        <v>0</v>
      </c>
      <c r="AO89" s="94">
        <f t="shared" si="98"/>
        <v>38.000000499999999</v>
      </c>
    </row>
    <row r="90" spans="1:41" ht="26.25" thickBot="1" x14ac:dyDescent="0.25">
      <c r="A90" s="34" t="s">
        <v>83</v>
      </c>
      <c r="C90" s="66"/>
      <c r="D90" s="66"/>
      <c r="E90" s="66"/>
      <c r="F90" s="66"/>
      <c r="G90" s="66"/>
      <c r="H90" s="66"/>
      <c r="I90" s="66"/>
      <c r="J90" s="69"/>
      <c r="K90" s="67"/>
      <c r="L90" s="67"/>
      <c r="M90" s="67"/>
      <c r="N90" s="88">
        <f t="shared" si="95"/>
        <v>0</v>
      </c>
      <c r="P90" s="67"/>
      <c r="Q90" s="72"/>
      <c r="R90" s="67"/>
      <c r="S90" s="67"/>
      <c r="T90" s="68"/>
      <c r="U90" s="88">
        <f t="shared" si="96"/>
        <v>0</v>
      </c>
      <c r="W90" s="68">
        <f>0.10916441+0.03383559</f>
        <v>0.14300000000000002</v>
      </c>
      <c r="X90" s="68">
        <f>0.075+0.143</f>
        <v>0.21799999999999997</v>
      </c>
      <c r="Y90" s="68">
        <f>0.211+0.5+0.143</f>
        <v>0.85399999999999998</v>
      </c>
      <c r="Z90" s="68">
        <f>0.3+0.143</f>
        <v>0.44299999999999995</v>
      </c>
      <c r="AA90" s="68"/>
      <c r="AB90" s="88">
        <f t="shared" si="97"/>
        <v>1.6579999999999999</v>
      </c>
      <c r="AD90" s="68">
        <v>0.215169</v>
      </c>
      <c r="AE90" s="68"/>
      <c r="AF90" s="88">
        <f t="shared" si="91"/>
        <v>0.215169</v>
      </c>
      <c r="AH90" s="94">
        <f t="shared" si="92"/>
        <v>1.8731689999999999</v>
      </c>
      <c r="AI90" s="32"/>
      <c r="AJ90" s="106"/>
      <c r="AK90" s="130"/>
      <c r="AL90" s="137"/>
      <c r="AM90" s="113">
        <f t="shared" si="93"/>
        <v>0</v>
      </c>
      <c r="AO90" s="94">
        <f t="shared" si="98"/>
        <v>1.8731689999999999</v>
      </c>
    </row>
    <row r="91" spans="1:41" ht="13.5" thickBot="1" x14ac:dyDescent="0.25">
      <c r="A91" s="27" t="s">
        <v>84</v>
      </c>
      <c r="C91" s="42"/>
      <c r="D91" s="49"/>
      <c r="E91" s="42"/>
      <c r="F91" s="42"/>
      <c r="G91" s="49"/>
      <c r="H91" s="46"/>
      <c r="I91" s="42"/>
      <c r="J91" s="42"/>
      <c r="K91" s="47"/>
      <c r="L91" s="42"/>
      <c r="M91" s="42"/>
      <c r="N91" s="83">
        <f t="shared" ref="N91" si="155">SUM(C91:M91)</f>
        <v>0</v>
      </c>
      <c r="P91" s="42"/>
      <c r="Q91" s="48"/>
      <c r="R91" s="48"/>
      <c r="S91" s="48"/>
      <c r="T91" s="48"/>
      <c r="U91" s="83">
        <f t="shared" ref="U91" si="156">SUM(P91:T91)</f>
        <v>0</v>
      </c>
      <c r="W91" s="48"/>
      <c r="X91" s="48"/>
      <c r="Y91" s="48"/>
      <c r="Z91" s="48"/>
      <c r="AA91" s="48"/>
      <c r="AB91" s="83">
        <f t="shared" ref="AB91" si="157">SUM(W91:AA91)</f>
        <v>0</v>
      </c>
      <c r="AD91" s="48"/>
      <c r="AE91" s="48"/>
      <c r="AF91" s="83">
        <f t="shared" si="91"/>
        <v>0</v>
      </c>
      <c r="AH91" s="91">
        <f t="shared" si="92"/>
        <v>0</v>
      </c>
      <c r="AI91" s="32"/>
      <c r="AJ91" s="106"/>
      <c r="AK91" s="130"/>
      <c r="AL91" s="137">
        <v>5.3333333300000003</v>
      </c>
      <c r="AM91" s="113">
        <f t="shared" si="93"/>
        <v>5.3333333300000003</v>
      </c>
      <c r="AO91" s="91">
        <f>SUM(AH91,AM91)</f>
        <v>5.3333333300000003</v>
      </c>
    </row>
    <row r="92" spans="1:41" ht="13.5" thickBot="1" x14ac:dyDescent="0.25">
      <c r="A92" s="9" t="s">
        <v>85</v>
      </c>
      <c r="C92" s="66"/>
      <c r="D92" s="66"/>
      <c r="E92" s="66"/>
      <c r="F92" s="66"/>
      <c r="G92" s="66"/>
      <c r="H92" s="66"/>
      <c r="I92" s="66"/>
      <c r="J92" s="69"/>
      <c r="K92" s="67">
        <v>5.8</v>
      </c>
      <c r="L92" s="67">
        <v>5.9</v>
      </c>
      <c r="M92" s="67">
        <v>4</v>
      </c>
      <c r="N92" s="88">
        <f t="shared" si="95"/>
        <v>15.7</v>
      </c>
      <c r="P92" s="70">
        <v>3.1</v>
      </c>
      <c r="Q92" s="73">
        <v>2.8415940000000002</v>
      </c>
      <c r="R92" s="67">
        <v>2.0267418500000001</v>
      </c>
      <c r="S92" s="67">
        <f>0.08282487+1.3589+0.41790755-0.05290269</f>
        <v>1.80672973</v>
      </c>
      <c r="T92" s="68">
        <f>0.12171144+1.0905+0.10330079+0.00749712</f>
        <v>1.32300935</v>
      </c>
      <c r="U92" s="88">
        <f t="shared" si="96"/>
        <v>11.098074930000001</v>
      </c>
      <c r="W92" s="68">
        <f>0.54553356+0.02381135+1.09579371+0.52189105+0.15054668</f>
        <v>2.3375763500000004</v>
      </c>
      <c r="X92" s="68">
        <f>0.01439096+0.0742438+0.03536211+1.1219873+0.16116763+0.47137176+0.68446473</f>
        <v>2.5629882899999998</v>
      </c>
      <c r="Y92" s="68">
        <f>0.50279334+1.14379384</f>
        <v>1.64658718</v>
      </c>
      <c r="Z92" s="68">
        <f>2.1173994+1.2991243+1.0956</f>
        <v>4.5121237000000001</v>
      </c>
      <c r="AA92" s="68">
        <f>3.25925629+1.169+1.33320411+0.25327518+0.14542811</f>
        <v>6.160163690000001</v>
      </c>
      <c r="AB92" s="88">
        <f t="shared" si="97"/>
        <v>17.219439210000001</v>
      </c>
      <c r="AD92" s="48">
        <f>0.65868636+0.11097781+0.02066697+0.01147503+1.145</f>
        <v>1.9468061699999999</v>
      </c>
      <c r="AE92" s="48">
        <f>1.75275525+0.83219134+1.03</f>
        <v>3.6149465899999997</v>
      </c>
      <c r="AF92" s="88">
        <f t="shared" si="91"/>
        <v>5.5617527599999992</v>
      </c>
      <c r="AH92" s="94">
        <f t="shared" si="92"/>
        <v>49.5792669</v>
      </c>
      <c r="AI92" s="32"/>
      <c r="AJ92" s="106"/>
      <c r="AK92" s="130"/>
      <c r="AL92" s="137"/>
      <c r="AM92" s="113">
        <f t="shared" si="93"/>
        <v>0</v>
      </c>
      <c r="AO92" s="94">
        <f t="shared" si="98"/>
        <v>49.5792669</v>
      </c>
    </row>
    <row r="93" spans="1:41" ht="15" thickBot="1" x14ac:dyDescent="0.25">
      <c r="A93" s="34" t="s">
        <v>136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87">
        <f t="shared" ref="N93" si="158">SUM(C93:M93)</f>
        <v>0</v>
      </c>
      <c r="P93" s="67"/>
      <c r="Q93" s="67"/>
      <c r="R93" s="67"/>
      <c r="S93" s="67"/>
      <c r="T93" s="67"/>
      <c r="U93" s="87">
        <f t="shared" ref="U93" si="159">SUM(P93:T93)</f>
        <v>0</v>
      </c>
      <c r="W93" s="36"/>
      <c r="X93" s="36"/>
      <c r="Y93" s="36"/>
      <c r="Z93" s="36"/>
      <c r="AA93" s="68"/>
      <c r="AB93" s="87">
        <f t="shared" ref="AB93" si="160">SUM(W93:AA93)</f>
        <v>0</v>
      </c>
      <c r="AD93" s="68"/>
      <c r="AE93" s="68">
        <v>10</v>
      </c>
      <c r="AF93" s="87">
        <f t="shared" si="91"/>
        <v>10</v>
      </c>
      <c r="AH93" s="94">
        <f t="shared" si="92"/>
        <v>10</v>
      </c>
      <c r="AI93" s="32"/>
      <c r="AJ93" s="106"/>
      <c r="AK93" s="130">
        <v>15.805266</v>
      </c>
      <c r="AL93" s="137"/>
      <c r="AM93" s="113">
        <f t="shared" si="93"/>
        <v>15.805266</v>
      </c>
      <c r="AO93" s="94">
        <f t="shared" si="98"/>
        <v>25.805266</v>
      </c>
    </row>
    <row r="94" spans="1:41" ht="13.5" thickBot="1" x14ac:dyDescent="0.25">
      <c r="A94" s="16" t="s">
        <v>86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87">
        <f t="shared" si="95"/>
        <v>0</v>
      </c>
      <c r="P94" s="67"/>
      <c r="Q94" s="67"/>
      <c r="R94" s="67"/>
      <c r="S94" s="67"/>
      <c r="T94" s="67"/>
      <c r="U94" s="87">
        <f t="shared" si="96"/>
        <v>0</v>
      </c>
      <c r="W94" s="36"/>
      <c r="X94" s="36"/>
      <c r="Y94" s="36"/>
      <c r="Z94" s="36"/>
      <c r="AA94" s="68"/>
      <c r="AB94" s="87">
        <f t="shared" si="97"/>
        <v>0</v>
      </c>
      <c r="AD94" s="68"/>
      <c r="AE94" s="68"/>
      <c r="AF94" s="87">
        <f t="shared" si="91"/>
        <v>0</v>
      </c>
      <c r="AH94" s="94">
        <f t="shared" si="92"/>
        <v>0</v>
      </c>
      <c r="AI94" s="32"/>
      <c r="AJ94" s="106"/>
      <c r="AK94" s="130">
        <v>0.1</v>
      </c>
      <c r="AL94" s="137"/>
      <c r="AM94" s="113">
        <f t="shared" si="93"/>
        <v>0.1</v>
      </c>
      <c r="AO94" s="94">
        <f t="shared" si="98"/>
        <v>0.1</v>
      </c>
    </row>
    <row r="95" spans="1:41" ht="26.25" thickBot="1" x14ac:dyDescent="0.25">
      <c r="A95" s="16" t="s">
        <v>87</v>
      </c>
      <c r="C95" s="66"/>
      <c r="D95" s="66"/>
      <c r="E95" s="66"/>
      <c r="F95" s="66"/>
      <c r="G95" s="66"/>
      <c r="H95" s="66"/>
      <c r="I95" s="66"/>
      <c r="J95" s="69"/>
      <c r="K95" s="67"/>
      <c r="L95" s="67"/>
      <c r="M95" s="67"/>
      <c r="N95" s="88">
        <f t="shared" si="95"/>
        <v>0</v>
      </c>
      <c r="P95" s="70"/>
      <c r="Q95" s="73"/>
      <c r="R95" s="67">
        <v>0.65</v>
      </c>
      <c r="S95" s="35">
        <v>0.45</v>
      </c>
      <c r="T95" s="68"/>
      <c r="U95" s="88">
        <f t="shared" si="96"/>
        <v>1.1000000000000001</v>
      </c>
      <c r="W95" s="68"/>
      <c r="X95" s="68"/>
      <c r="Y95" s="68"/>
      <c r="Z95" s="68"/>
      <c r="AA95" s="68"/>
      <c r="AB95" s="88">
        <f t="shared" si="97"/>
        <v>0</v>
      </c>
      <c r="AD95" s="68"/>
      <c r="AE95" s="68"/>
      <c r="AF95" s="88">
        <f t="shared" si="91"/>
        <v>0</v>
      </c>
      <c r="AH95" s="94">
        <f t="shared" si="92"/>
        <v>1.1000000000000001</v>
      </c>
      <c r="AI95" s="32"/>
      <c r="AJ95" s="106"/>
      <c r="AK95" s="130"/>
      <c r="AL95" s="137"/>
      <c r="AM95" s="113">
        <f t="shared" si="93"/>
        <v>0</v>
      </c>
      <c r="AO95" s="94">
        <f t="shared" si="98"/>
        <v>1.1000000000000001</v>
      </c>
    </row>
    <row r="96" spans="1:41" ht="13.5" thickBot="1" x14ac:dyDescent="0.25">
      <c r="A96" s="16" t="s">
        <v>88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87">
        <f t="shared" ref="N96" si="161">SUM(C96:M96)</f>
        <v>0</v>
      </c>
      <c r="P96" s="67"/>
      <c r="Q96" s="67"/>
      <c r="R96" s="67"/>
      <c r="S96" s="67"/>
      <c r="T96" s="67"/>
      <c r="U96" s="87">
        <f t="shared" ref="U96:U97" si="162">SUM(P96:T96)</f>
        <v>0</v>
      </c>
      <c r="W96" s="36"/>
      <c r="X96" s="36"/>
      <c r="Y96" s="36"/>
      <c r="Z96" s="36"/>
      <c r="AA96" s="68"/>
      <c r="AB96" s="87">
        <f t="shared" ref="AB96:AB97" si="163">SUM(W96:AA96)</f>
        <v>0</v>
      </c>
      <c r="AD96" s="68"/>
      <c r="AE96" s="68"/>
      <c r="AF96" s="87">
        <f t="shared" si="91"/>
        <v>0</v>
      </c>
      <c r="AH96" s="94">
        <f t="shared" si="92"/>
        <v>0</v>
      </c>
      <c r="AI96" s="32"/>
      <c r="AJ96" s="106"/>
      <c r="AK96" s="130">
        <v>0.2</v>
      </c>
      <c r="AL96" s="137"/>
      <c r="AM96" s="113">
        <f t="shared" si="93"/>
        <v>0.2</v>
      </c>
      <c r="AO96" s="94">
        <f t="shared" ref="AO96:AO97" si="164">SUM(AH96,AM96)</f>
        <v>0.2</v>
      </c>
    </row>
    <row r="97" spans="1:43" ht="13.5" thickBot="1" x14ac:dyDescent="0.25">
      <c r="A97" s="16" t="s">
        <v>89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87">
        <f t="shared" ref="N97" si="165">SUM(C97:M97)</f>
        <v>0</v>
      </c>
      <c r="P97" s="67"/>
      <c r="Q97" s="67"/>
      <c r="R97" s="67"/>
      <c r="S97" s="67"/>
      <c r="T97" s="67"/>
      <c r="U97" s="87">
        <f t="shared" si="162"/>
        <v>0</v>
      </c>
      <c r="W97" s="36"/>
      <c r="X97" s="36"/>
      <c r="Y97" s="36"/>
      <c r="Z97" s="36"/>
      <c r="AA97" s="68"/>
      <c r="AB97" s="87">
        <f t="shared" si="163"/>
        <v>0</v>
      </c>
      <c r="AD97" s="68"/>
      <c r="AE97" s="68"/>
      <c r="AF97" s="87">
        <f t="shared" si="91"/>
        <v>0</v>
      </c>
      <c r="AH97" s="94">
        <f t="shared" si="92"/>
        <v>0</v>
      </c>
      <c r="AI97" s="32"/>
      <c r="AJ97" s="106"/>
      <c r="AK97" s="130">
        <v>1.8275723100000001</v>
      </c>
      <c r="AL97" s="137"/>
      <c r="AM97" s="113">
        <f t="shared" si="93"/>
        <v>1.8275723100000001</v>
      </c>
      <c r="AO97" s="94">
        <f t="shared" si="164"/>
        <v>1.8275723100000001</v>
      </c>
    </row>
    <row r="98" spans="1:43" ht="13.5" thickBot="1" x14ac:dyDescent="0.25">
      <c r="A98" s="16" t="s">
        <v>90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87">
        <f t="shared" ref="N98" si="166">SUM(C98:M98)</f>
        <v>0</v>
      </c>
      <c r="P98" s="67"/>
      <c r="Q98" s="67"/>
      <c r="R98" s="67"/>
      <c r="S98" s="67"/>
      <c r="T98" s="67"/>
      <c r="U98" s="87">
        <f t="shared" ref="U98" si="167">SUM(P98:T98)</f>
        <v>0</v>
      </c>
      <c r="W98" s="36"/>
      <c r="X98" s="36"/>
      <c r="Y98" s="36"/>
      <c r="Z98" s="36"/>
      <c r="AA98" s="68"/>
      <c r="AB98" s="87">
        <f t="shared" ref="AB98" si="168">SUM(W98:AA98)</f>
        <v>0</v>
      </c>
      <c r="AD98" s="68"/>
      <c r="AE98" s="68"/>
      <c r="AF98" s="87">
        <f t="shared" si="91"/>
        <v>0</v>
      </c>
      <c r="AH98" s="94">
        <f t="shared" si="92"/>
        <v>0</v>
      </c>
      <c r="AI98" s="32"/>
      <c r="AJ98" s="106"/>
      <c r="AK98" s="130">
        <v>0.1</v>
      </c>
      <c r="AL98" s="137"/>
      <c r="AM98" s="113">
        <f t="shared" si="93"/>
        <v>0.1</v>
      </c>
      <c r="AO98" s="94">
        <f t="shared" ref="AO98" si="169">SUM(AH98,AM98)</f>
        <v>0.1</v>
      </c>
    </row>
    <row r="99" spans="1:43" ht="13.5" thickBot="1" x14ac:dyDescent="0.25">
      <c r="A99" s="16" t="s">
        <v>91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87">
        <f t="shared" ref="N99" si="170">SUM(C99:M99)</f>
        <v>0</v>
      </c>
      <c r="P99" s="67"/>
      <c r="Q99" s="67"/>
      <c r="R99" s="67"/>
      <c r="S99" s="67"/>
      <c r="T99" s="67"/>
      <c r="U99" s="87">
        <f t="shared" ref="U99" si="171">SUM(P99:T99)</f>
        <v>0</v>
      </c>
      <c r="W99" s="36"/>
      <c r="X99" s="36"/>
      <c r="Y99" s="36"/>
      <c r="Z99" s="36"/>
      <c r="AA99" s="68"/>
      <c r="AB99" s="87">
        <f t="shared" ref="AB99" si="172">SUM(W99:AA99)</f>
        <v>0</v>
      </c>
      <c r="AD99" s="68"/>
      <c r="AE99" s="68"/>
      <c r="AF99" s="87">
        <f t="shared" si="91"/>
        <v>0</v>
      </c>
      <c r="AH99" s="94">
        <f t="shared" si="92"/>
        <v>0</v>
      </c>
      <c r="AI99" s="32"/>
      <c r="AJ99" s="106"/>
      <c r="AK99" s="130">
        <f>0.001+4.999</f>
        <v>5</v>
      </c>
      <c r="AL99" s="137"/>
      <c r="AM99" s="113">
        <f t="shared" si="93"/>
        <v>5</v>
      </c>
      <c r="AO99" s="94">
        <f t="shared" ref="AO99" si="173">SUM(AH99,AM99)</f>
        <v>5</v>
      </c>
    </row>
    <row r="100" spans="1:43" ht="13.5" thickBot="1" x14ac:dyDescent="0.25">
      <c r="A100" s="26" t="s">
        <v>92</v>
      </c>
      <c r="C100" s="66"/>
      <c r="D100" s="66"/>
      <c r="E100" s="66"/>
      <c r="F100" s="66"/>
      <c r="G100" s="66"/>
      <c r="H100" s="66"/>
      <c r="I100" s="66"/>
      <c r="J100" s="69"/>
      <c r="K100" s="67"/>
      <c r="L100" s="67"/>
      <c r="M100" s="67"/>
      <c r="N100" s="88">
        <f t="shared" si="95"/>
        <v>0</v>
      </c>
      <c r="P100" s="70"/>
      <c r="Q100" s="70"/>
      <c r="R100" s="70"/>
      <c r="S100" s="70"/>
      <c r="T100" s="71"/>
      <c r="U100" s="88">
        <f t="shared" si="96"/>
        <v>0</v>
      </c>
      <c r="W100" s="71"/>
      <c r="X100" s="71"/>
      <c r="Y100" s="71"/>
      <c r="Z100" s="71"/>
      <c r="AA100" s="71"/>
      <c r="AB100" s="88">
        <f t="shared" si="97"/>
        <v>0</v>
      </c>
      <c r="AD100" s="71"/>
      <c r="AE100" s="71"/>
      <c r="AF100" s="88">
        <f t="shared" si="91"/>
        <v>0</v>
      </c>
      <c r="AH100" s="94">
        <f t="shared" si="92"/>
        <v>0</v>
      </c>
      <c r="AI100" s="32"/>
      <c r="AJ100" s="106">
        <v>30</v>
      </c>
      <c r="AK100" s="130"/>
      <c r="AL100" s="137"/>
      <c r="AM100" s="113">
        <f t="shared" si="93"/>
        <v>30</v>
      </c>
      <c r="AO100" s="94">
        <f t="shared" si="98"/>
        <v>30</v>
      </c>
    </row>
    <row r="101" spans="1:43" ht="13.5" thickBot="1" x14ac:dyDescent="0.25">
      <c r="A101" s="9" t="s">
        <v>93</v>
      </c>
      <c r="C101" s="66"/>
      <c r="D101" s="66"/>
      <c r="E101" s="66"/>
      <c r="F101" s="66"/>
      <c r="G101" s="66"/>
      <c r="H101" s="66"/>
      <c r="I101" s="66"/>
      <c r="J101" s="69"/>
      <c r="K101" s="67"/>
      <c r="L101" s="67"/>
      <c r="M101" s="67"/>
      <c r="N101" s="88">
        <f t="shared" si="95"/>
        <v>0</v>
      </c>
      <c r="P101" s="70"/>
      <c r="Q101" s="73"/>
      <c r="R101" s="67"/>
      <c r="S101" s="67"/>
      <c r="T101" s="68"/>
      <c r="U101" s="88">
        <f t="shared" si="96"/>
        <v>0</v>
      </c>
      <c r="W101" s="68"/>
      <c r="X101" s="68"/>
      <c r="Y101" s="68"/>
      <c r="Z101" s="68">
        <v>3</v>
      </c>
      <c r="AA101" s="68"/>
      <c r="AB101" s="88">
        <f t="shared" si="97"/>
        <v>3</v>
      </c>
      <c r="AD101" s="68"/>
      <c r="AE101" s="68">
        <v>1.754</v>
      </c>
      <c r="AF101" s="88">
        <f t="shared" si="91"/>
        <v>1.754</v>
      </c>
      <c r="AH101" s="94">
        <f t="shared" si="92"/>
        <v>4.7539999999999996</v>
      </c>
      <c r="AI101" s="32"/>
      <c r="AJ101" s="106"/>
      <c r="AK101" s="130"/>
      <c r="AL101" s="137"/>
      <c r="AM101" s="113">
        <f t="shared" si="93"/>
        <v>0</v>
      </c>
      <c r="AO101" s="94">
        <f t="shared" si="98"/>
        <v>4.7539999999999996</v>
      </c>
    </row>
    <row r="102" spans="1:43" ht="13.5" thickBot="1" x14ac:dyDescent="0.25">
      <c r="A102" s="16" t="s">
        <v>94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87">
        <f t="shared" ref="N102" si="174">SUM(C102:M102)</f>
        <v>0</v>
      </c>
      <c r="P102" s="67"/>
      <c r="Q102" s="67"/>
      <c r="R102" s="67"/>
      <c r="S102" s="67"/>
      <c r="T102" s="67"/>
      <c r="U102" s="87">
        <f t="shared" ref="U102" si="175">SUM(P102:T102)</f>
        <v>0</v>
      </c>
      <c r="W102" s="36"/>
      <c r="X102" s="36"/>
      <c r="Y102" s="36"/>
      <c r="Z102" s="36"/>
      <c r="AA102" s="68"/>
      <c r="AB102" s="87">
        <f t="shared" ref="AB102" si="176">SUM(W102:AA102)</f>
        <v>0</v>
      </c>
      <c r="AD102" s="68"/>
      <c r="AE102" s="68"/>
      <c r="AF102" s="87">
        <f t="shared" si="91"/>
        <v>0</v>
      </c>
      <c r="AH102" s="94">
        <f t="shared" si="92"/>
        <v>0</v>
      </c>
      <c r="AI102" s="32"/>
      <c r="AJ102" s="106"/>
      <c r="AK102" s="130">
        <v>0.11</v>
      </c>
      <c r="AL102" s="137"/>
      <c r="AM102" s="113">
        <f t="shared" si="93"/>
        <v>0.11</v>
      </c>
      <c r="AO102" s="94">
        <f t="shared" si="98"/>
        <v>0.11</v>
      </c>
    </row>
    <row r="103" spans="1:43" ht="13.5" thickBot="1" x14ac:dyDescent="0.25">
      <c r="A103" s="16" t="s">
        <v>95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87">
        <f t="shared" si="95"/>
        <v>0</v>
      </c>
      <c r="P103" s="67"/>
      <c r="Q103" s="67"/>
      <c r="R103" s="67"/>
      <c r="S103" s="67"/>
      <c r="T103" s="67"/>
      <c r="U103" s="87">
        <f t="shared" si="96"/>
        <v>0</v>
      </c>
      <c r="W103" s="36"/>
      <c r="X103" s="36"/>
      <c r="Y103" s="36"/>
      <c r="Z103" s="36"/>
      <c r="AA103" s="68"/>
      <c r="AB103" s="87">
        <f t="shared" si="97"/>
        <v>0</v>
      </c>
      <c r="AD103" s="68"/>
      <c r="AE103" s="68"/>
      <c r="AF103" s="87">
        <f t="shared" si="91"/>
        <v>0</v>
      </c>
      <c r="AH103" s="94">
        <f t="shared" si="92"/>
        <v>0</v>
      </c>
      <c r="AI103" s="32"/>
      <c r="AJ103" s="106"/>
      <c r="AK103" s="130">
        <f>0.5+0.151247</f>
        <v>0.65124700000000002</v>
      </c>
      <c r="AL103" s="137">
        <v>9.4E-7</v>
      </c>
      <c r="AM103" s="113">
        <f t="shared" si="93"/>
        <v>0.65124793999999997</v>
      </c>
      <c r="AO103" s="94">
        <f t="shared" si="98"/>
        <v>0.65124793999999997</v>
      </c>
      <c r="AQ103" s="133"/>
    </row>
    <row r="104" spans="1:43" ht="13.5" thickBot="1" x14ac:dyDescent="0.25">
      <c r="A104" s="17" t="s">
        <v>96</v>
      </c>
      <c r="C104" s="66"/>
      <c r="D104" s="66"/>
      <c r="E104" s="66"/>
      <c r="F104" s="66"/>
      <c r="G104" s="66"/>
      <c r="H104" s="66"/>
      <c r="I104" s="66"/>
      <c r="J104" s="69"/>
      <c r="K104" s="67"/>
      <c r="L104" s="67"/>
      <c r="M104" s="67"/>
      <c r="N104" s="88">
        <f t="shared" si="95"/>
        <v>0</v>
      </c>
      <c r="P104" s="70"/>
      <c r="Q104" s="73"/>
      <c r="R104" s="67"/>
      <c r="S104" s="67"/>
      <c r="T104" s="68"/>
      <c r="U104" s="88">
        <f t="shared" si="96"/>
        <v>0</v>
      </c>
      <c r="W104" s="68"/>
      <c r="X104" s="68"/>
      <c r="Y104" s="68"/>
      <c r="Z104" s="68"/>
      <c r="AA104" s="68"/>
      <c r="AB104" s="88">
        <f t="shared" si="97"/>
        <v>0</v>
      </c>
      <c r="AD104" s="68"/>
      <c r="AE104" s="68"/>
      <c r="AF104" s="88">
        <f t="shared" si="91"/>
        <v>0</v>
      </c>
      <c r="AH104" s="94">
        <f t="shared" si="92"/>
        <v>0</v>
      </c>
      <c r="AI104" s="32"/>
      <c r="AJ104" s="106">
        <v>10</v>
      </c>
      <c r="AK104" s="130"/>
      <c r="AL104" s="137"/>
      <c r="AM104" s="113">
        <f t="shared" si="93"/>
        <v>10</v>
      </c>
      <c r="AO104" s="94">
        <f t="shared" si="98"/>
        <v>10</v>
      </c>
    </row>
    <row r="105" spans="1:43" ht="13.5" thickBot="1" x14ac:dyDescent="0.25">
      <c r="A105" s="16" t="s">
        <v>97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87">
        <f t="shared" ref="N105" si="177">SUM(C105:M105)</f>
        <v>0</v>
      </c>
      <c r="P105" s="67"/>
      <c r="Q105" s="67"/>
      <c r="R105" s="67"/>
      <c r="S105" s="67"/>
      <c r="T105" s="67"/>
      <c r="U105" s="87">
        <f t="shared" ref="U105" si="178">SUM(P105:T105)</f>
        <v>0</v>
      </c>
      <c r="W105" s="36"/>
      <c r="X105" s="36"/>
      <c r="Y105" s="36"/>
      <c r="Z105" s="36"/>
      <c r="AA105" s="68"/>
      <c r="AB105" s="87">
        <f t="shared" ref="AB105" si="179">SUM(W105:AA105)</f>
        <v>0</v>
      </c>
      <c r="AD105" s="68"/>
      <c r="AE105" s="68"/>
      <c r="AF105" s="87">
        <f t="shared" si="91"/>
        <v>0</v>
      </c>
      <c r="AH105" s="94">
        <f t="shared" si="92"/>
        <v>0</v>
      </c>
      <c r="AI105" s="32"/>
      <c r="AJ105" s="106"/>
      <c r="AK105" s="130">
        <v>0.1</v>
      </c>
      <c r="AL105" s="137"/>
      <c r="AM105" s="113">
        <f t="shared" si="93"/>
        <v>0.1</v>
      </c>
      <c r="AO105" s="94">
        <f t="shared" si="98"/>
        <v>0.1</v>
      </c>
    </row>
    <row r="106" spans="1:43" ht="13.5" thickBot="1" x14ac:dyDescent="0.25">
      <c r="A106" s="27" t="s">
        <v>98</v>
      </c>
      <c r="C106" s="42"/>
      <c r="D106" s="49"/>
      <c r="E106" s="42"/>
      <c r="F106" s="42"/>
      <c r="G106" s="49"/>
      <c r="H106" s="46"/>
      <c r="I106" s="42"/>
      <c r="J106" s="42"/>
      <c r="K106" s="47"/>
      <c r="L106" s="42"/>
      <c r="M106" s="42"/>
      <c r="N106" s="83">
        <f>SUM(C106:M106)</f>
        <v>0</v>
      </c>
      <c r="P106" s="42"/>
      <c r="Q106" s="48"/>
      <c r="R106" s="48"/>
      <c r="S106" s="48"/>
      <c r="T106" s="48"/>
      <c r="U106" s="83">
        <f t="shared" ref="U106" si="180">SUM(P106:T106)</f>
        <v>0</v>
      </c>
      <c r="W106" s="48"/>
      <c r="X106" s="48"/>
      <c r="Y106" s="48"/>
      <c r="Z106" s="48"/>
      <c r="AA106" s="48"/>
      <c r="AB106" s="83">
        <f t="shared" ref="AB106" si="181">SUM(W106:AA106)</f>
        <v>0</v>
      </c>
      <c r="AD106" s="48"/>
      <c r="AE106" s="48"/>
      <c r="AF106" s="83">
        <f t="shared" si="91"/>
        <v>0</v>
      </c>
      <c r="AH106" s="91">
        <f t="shared" si="92"/>
        <v>0</v>
      </c>
      <c r="AI106" s="32"/>
      <c r="AJ106" s="106"/>
      <c r="AK106" s="130">
        <v>1.1596E-2</v>
      </c>
      <c r="AL106" s="137"/>
      <c r="AM106" s="113">
        <f t="shared" si="93"/>
        <v>1.1596E-2</v>
      </c>
      <c r="AO106" s="91">
        <f>SUM(AH106,AM106)</f>
        <v>1.1596E-2</v>
      </c>
    </row>
    <row r="107" spans="1:43" ht="13.5" thickBot="1" x14ac:dyDescent="0.25">
      <c r="A107" s="16" t="s">
        <v>99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87">
        <f t="shared" ref="N107" si="182">SUM(C107:M107)</f>
        <v>0</v>
      </c>
      <c r="P107" s="67"/>
      <c r="Q107" s="67"/>
      <c r="R107" s="67"/>
      <c r="S107" s="67"/>
      <c r="T107" s="67"/>
      <c r="U107" s="87">
        <f t="shared" ref="U107" si="183">SUM(P107:T107)</f>
        <v>0</v>
      </c>
      <c r="W107" s="36"/>
      <c r="X107" s="36"/>
      <c r="Y107" s="36"/>
      <c r="Z107" s="36"/>
      <c r="AA107" s="68"/>
      <c r="AB107" s="87">
        <f t="shared" ref="AB107" si="184">SUM(W107:AA107)</f>
        <v>0</v>
      </c>
      <c r="AD107" s="68"/>
      <c r="AE107" s="68"/>
      <c r="AF107" s="87">
        <f t="shared" si="91"/>
        <v>0</v>
      </c>
      <c r="AH107" s="94">
        <f t="shared" si="92"/>
        <v>0</v>
      </c>
      <c r="AI107" s="32"/>
      <c r="AJ107" s="106"/>
      <c r="AK107" s="130">
        <v>0.5</v>
      </c>
      <c r="AL107" s="137"/>
      <c r="AM107" s="113">
        <f t="shared" si="93"/>
        <v>0.5</v>
      </c>
      <c r="AO107" s="94">
        <f t="shared" ref="AO107" si="185">SUM(AH107,AM107)</f>
        <v>0.5</v>
      </c>
    </row>
    <row r="108" spans="1:43" ht="13.5" thickBot="1" x14ac:dyDescent="0.25">
      <c r="A108" s="16" t="s">
        <v>100</v>
      </c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87">
        <f t="shared" ref="N108" si="186">SUM(C108:M108)</f>
        <v>0</v>
      </c>
      <c r="P108" s="67"/>
      <c r="Q108" s="67"/>
      <c r="R108" s="67"/>
      <c r="S108" s="67"/>
      <c r="T108" s="67"/>
      <c r="U108" s="87">
        <f t="shared" ref="U108" si="187">SUM(P108:T108)</f>
        <v>0</v>
      </c>
      <c r="W108" s="36"/>
      <c r="X108" s="36"/>
      <c r="Y108" s="36"/>
      <c r="Z108" s="36"/>
      <c r="AA108" s="68"/>
      <c r="AB108" s="87">
        <f t="shared" ref="AB108" si="188">SUM(W108:AA108)</f>
        <v>0</v>
      </c>
      <c r="AD108" s="68"/>
      <c r="AE108" s="68"/>
      <c r="AF108" s="87">
        <f t="shared" si="91"/>
        <v>0</v>
      </c>
      <c r="AH108" s="94">
        <f t="shared" si="92"/>
        <v>0</v>
      </c>
      <c r="AI108" s="32"/>
      <c r="AJ108" s="106"/>
      <c r="AK108" s="130">
        <v>1</v>
      </c>
      <c r="AL108" s="137"/>
      <c r="AM108" s="113">
        <f t="shared" si="93"/>
        <v>1</v>
      </c>
      <c r="AO108" s="94">
        <f t="shared" ref="AO108:AO109" si="189">SUM(AH108,AM108)</f>
        <v>1</v>
      </c>
    </row>
    <row r="109" spans="1:43" ht="13.5" thickBot="1" x14ac:dyDescent="0.25">
      <c r="A109" s="16" t="s">
        <v>101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87">
        <f t="shared" ref="N109" si="190">SUM(C109:M109)</f>
        <v>0</v>
      </c>
      <c r="P109" s="67"/>
      <c r="Q109" s="67"/>
      <c r="R109" s="67"/>
      <c r="S109" s="67"/>
      <c r="T109" s="67"/>
      <c r="U109" s="87">
        <f t="shared" ref="U109" si="191">SUM(P109:T109)</f>
        <v>0</v>
      </c>
      <c r="W109" s="36"/>
      <c r="X109" s="36"/>
      <c r="Y109" s="36"/>
      <c r="Z109" s="36"/>
      <c r="AA109" s="68"/>
      <c r="AB109" s="87">
        <f t="shared" ref="AB109" si="192">SUM(W109:AA109)</f>
        <v>0</v>
      </c>
      <c r="AD109" s="68"/>
      <c r="AE109" s="68"/>
      <c r="AF109" s="87">
        <f t="shared" si="91"/>
        <v>0</v>
      </c>
      <c r="AH109" s="94">
        <f t="shared" si="92"/>
        <v>0</v>
      </c>
      <c r="AI109" s="32"/>
      <c r="AJ109" s="106"/>
      <c r="AK109" s="130">
        <v>0.25</v>
      </c>
      <c r="AL109" s="137"/>
      <c r="AM109" s="113">
        <f t="shared" si="93"/>
        <v>0.25</v>
      </c>
      <c r="AO109" s="94">
        <f t="shared" si="189"/>
        <v>0.25</v>
      </c>
    </row>
    <row r="110" spans="1:43" ht="13.5" thickBot="1" x14ac:dyDescent="0.25">
      <c r="A110" s="27" t="s">
        <v>102</v>
      </c>
      <c r="C110" s="42"/>
      <c r="D110" s="49"/>
      <c r="E110" s="42"/>
      <c r="F110" s="42"/>
      <c r="G110" s="49"/>
      <c r="H110" s="46"/>
      <c r="I110" s="42"/>
      <c r="J110" s="42"/>
      <c r="K110" s="47"/>
      <c r="L110" s="42"/>
      <c r="M110" s="42"/>
      <c r="N110" s="83">
        <f t="shared" ref="N110" si="193">SUM(C110:M110)</f>
        <v>0</v>
      </c>
      <c r="P110" s="42"/>
      <c r="Q110" s="48"/>
      <c r="R110" s="48"/>
      <c r="S110" s="48"/>
      <c r="T110" s="48"/>
      <c r="U110" s="83">
        <f t="shared" ref="U110" si="194">SUM(P110:T110)</f>
        <v>0</v>
      </c>
      <c r="W110" s="48"/>
      <c r="X110" s="48"/>
      <c r="Y110" s="48"/>
      <c r="Z110" s="48"/>
      <c r="AA110" s="48"/>
      <c r="AB110" s="83">
        <f t="shared" ref="AB110" si="195">SUM(W110:AA110)</f>
        <v>0</v>
      </c>
      <c r="AD110" s="48"/>
      <c r="AE110" s="48"/>
      <c r="AF110" s="83">
        <f t="shared" si="91"/>
        <v>0</v>
      </c>
      <c r="AH110" s="91">
        <f t="shared" si="92"/>
        <v>0</v>
      </c>
      <c r="AI110" s="32"/>
      <c r="AJ110" s="106"/>
      <c r="AK110" s="130">
        <v>3.9320541099999997</v>
      </c>
      <c r="AL110" s="137"/>
      <c r="AM110" s="113">
        <f t="shared" si="93"/>
        <v>3.9320541099999997</v>
      </c>
      <c r="AO110" s="91">
        <f t="shared" si="98"/>
        <v>3.9320541099999997</v>
      </c>
    </row>
    <row r="111" spans="1:43" ht="13.5" thickBot="1" x14ac:dyDescent="0.25">
      <c r="A111" s="26" t="s">
        <v>103</v>
      </c>
      <c r="C111" s="66"/>
      <c r="D111" s="66"/>
      <c r="E111" s="66"/>
      <c r="F111" s="66"/>
      <c r="G111" s="66"/>
      <c r="H111" s="66"/>
      <c r="I111" s="66"/>
      <c r="J111" s="69"/>
      <c r="K111" s="67"/>
      <c r="L111" s="67"/>
      <c r="M111" s="67"/>
      <c r="N111" s="88">
        <f t="shared" ref="N111" si="196">SUM(C111:M111)</f>
        <v>0</v>
      </c>
      <c r="P111" s="70"/>
      <c r="Q111" s="70"/>
      <c r="R111" s="70"/>
      <c r="S111" s="70"/>
      <c r="T111" s="71"/>
      <c r="U111" s="88">
        <f t="shared" ref="U111" si="197">SUM(P111:T111)</f>
        <v>0</v>
      </c>
      <c r="W111" s="71"/>
      <c r="X111" s="71"/>
      <c r="Y111" s="71"/>
      <c r="Z111" s="71"/>
      <c r="AA111" s="71">
        <v>5</v>
      </c>
      <c r="AB111" s="88">
        <f t="shared" ref="AB111" si="198">SUM(W111:AA111)</f>
        <v>5</v>
      </c>
      <c r="AD111" s="71"/>
      <c r="AE111" s="71"/>
      <c r="AF111" s="88">
        <f t="shared" si="91"/>
        <v>0</v>
      </c>
      <c r="AH111" s="94">
        <f t="shared" si="92"/>
        <v>5</v>
      </c>
      <c r="AI111" s="32"/>
      <c r="AJ111" s="106">
        <v>5</v>
      </c>
      <c r="AK111" s="130"/>
      <c r="AL111" s="137"/>
      <c r="AM111" s="113">
        <f t="shared" si="93"/>
        <v>5</v>
      </c>
      <c r="AO111" s="94">
        <f t="shared" si="98"/>
        <v>10</v>
      </c>
    </row>
    <row r="112" spans="1:43" ht="15" thickBot="1" x14ac:dyDescent="0.25">
      <c r="A112" s="34" t="s">
        <v>137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87">
        <f t="shared" ref="N112" si="199">SUM(C112:M112)</f>
        <v>0</v>
      </c>
      <c r="P112" s="67"/>
      <c r="Q112" s="67"/>
      <c r="R112" s="67"/>
      <c r="S112" s="67"/>
      <c r="T112" s="67"/>
      <c r="U112" s="87">
        <f t="shared" ref="U112" si="200">SUM(P112:T112)</f>
        <v>0</v>
      </c>
      <c r="W112" s="36"/>
      <c r="X112" s="36"/>
      <c r="Y112" s="36"/>
      <c r="Z112" s="36"/>
      <c r="AA112" s="68"/>
      <c r="AB112" s="87">
        <f t="shared" ref="AB112" si="201">SUM(W112:AA112)</f>
        <v>0</v>
      </c>
      <c r="AD112" s="68"/>
      <c r="AE112" s="68"/>
      <c r="AF112" s="87">
        <f t="shared" si="91"/>
        <v>0</v>
      </c>
      <c r="AH112" s="94">
        <f t="shared" si="92"/>
        <v>0</v>
      </c>
      <c r="AI112" s="32"/>
      <c r="AJ112" s="106"/>
      <c r="AK112" s="130">
        <v>0.90530509000000003</v>
      </c>
      <c r="AL112" s="137"/>
      <c r="AM112" s="113">
        <f t="shared" si="93"/>
        <v>0.90530509000000003</v>
      </c>
      <c r="AO112" s="94">
        <f t="shared" ref="AO112" si="202">SUM(AH112,AM112)</f>
        <v>0.90530509000000003</v>
      </c>
    </row>
    <row r="113" spans="1:41" ht="13.5" thickBot="1" x14ac:dyDescent="0.25">
      <c r="A113" s="16" t="s">
        <v>104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87">
        <f t="shared" ref="N113" si="203">SUM(C113:M113)</f>
        <v>0</v>
      </c>
      <c r="P113" s="67"/>
      <c r="Q113" s="67"/>
      <c r="R113" s="67"/>
      <c r="S113" s="67"/>
      <c r="T113" s="67"/>
      <c r="U113" s="87">
        <f t="shared" ref="U113" si="204">SUM(P113:T113)</f>
        <v>0</v>
      </c>
      <c r="W113" s="36"/>
      <c r="X113" s="36"/>
      <c r="Y113" s="36"/>
      <c r="Z113" s="36"/>
      <c r="AA113" s="68"/>
      <c r="AB113" s="87">
        <f t="shared" ref="AB113" si="205">SUM(W113:AA113)</f>
        <v>0</v>
      </c>
      <c r="AD113" s="68"/>
      <c r="AE113" s="68"/>
      <c r="AF113" s="87">
        <f t="shared" si="91"/>
        <v>0</v>
      </c>
      <c r="AH113" s="94">
        <f t="shared" si="92"/>
        <v>0</v>
      </c>
      <c r="AI113" s="32"/>
      <c r="AJ113" s="106"/>
      <c r="AK113" s="130">
        <v>5</v>
      </c>
      <c r="AL113" s="137">
        <v>5</v>
      </c>
      <c r="AM113" s="113">
        <f t="shared" si="93"/>
        <v>10</v>
      </c>
      <c r="AO113" s="94">
        <f t="shared" si="98"/>
        <v>10</v>
      </c>
    </row>
    <row r="114" spans="1:41" ht="13.5" thickBot="1" x14ac:dyDescent="0.25">
      <c r="A114" s="16" t="s">
        <v>105</v>
      </c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87">
        <f t="shared" ref="N114" si="206">SUM(C114:M114)</f>
        <v>0</v>
      </c>
      <c r="P114" s="67"/>
      <c r="Q114" s="67"/>
      <c r="R114" s="67"/>
      <c r="S114" s="67"/>
      <c r="T114" s="67"/>
      <c r="U114" s="87">
        <f t="shared" ref="U114" si="207">SUM(P114:T114)</f>
        <v>0</v>
      </c>
      <c r="W114" s="36"/>
      <c r="X114" s="36"/>
      <c r="Y114" s="36"/>
      <c r="Z114" s="36"/>
      <c r="AA114" s="68"/>
      <c r="AB114" s="87">
        <f t="shared" ref="AB114" si="208">SUM(W114:AA114)</f>
        <v>0</v>
      </c>
      <c r="AD114" s="68"/>
      <c r="AE114" s="68"/>
      <c r="AF114" s="87">
        <f t="shared" si="91"/>
        <v>0</v>
      </c>
      <c r="AH114" s="94">
        <f t="shared" si="92"/>
        <v>0</v>
      </c>
      <c r="AI114" s="32"/>
      <c r="AJ114" s="106"/>
      <c r="AK114" s="130">
        <v>2.1</v>
      </c>
      <c r="AL114" s="137"/>
      <c r="AM114" s="113">
        <f t="shared" si="93"/>
        <v>2.1</v>
      </c>
      <c r="AO114" s="94">
        <f t="shared" ref="AO114" si="209">SUM(AH114,AM114)</f>
        <v>2.1</v>
      </c>
    </row>
    <row r="115" spans="1:41" ht="15" thickBot="1" x14ac:dyDescent="0.25">
      <c r="A115" s="27" t="s">
        <v>138</v>
      </c>
      <c r="C115" s="66"/>
      <c r="D115" s="66"/>
      <c r="E115" s="66"/>
      <c r="F115" s="66"/>
      <c r="G115" s="66"/>
      <c r="H115" s="66"/>
      <c r="I115" s="66"/>
      <c r="J115" s="69"/>
      <c r="K115" s="67"/>
      <c r="L115" s="67"/>
      <c r="M115" s="67"/>
      <c r="N115" s="88">
        <f t="shared" si="95"/>
        <v>0</v>
      </c>
      <c r="P115" s="70"/>
      <c r="Q115" s="73"/>
      <c r="R115" s="67"/>
      <c r="S115" s="67"/>
      <c r="T115" s="68"/>
      <c r="U115" s="88">
        <f t="shared" si="96"/>
        <v>0</v>
      </c>
      <c r="W115" s="68">
        <v>1.0444</v>
      </c>
      <c r="X115" s="68">
        <v>1.10490844</v>
      </c>
      <c r="Y115" s="68">
        <v>1.0774045000000001</v>
      </c>
      <c r="Z115" s="68">
        <v>0.55359999999999998</v>
      </c>
      <c r="AA115" s="68">
        <f>1.0259925+0.6058</f>
        <v>1.6317925</v>
      </c>
      <c r="AB115" s="88">
        <f t="shared" si="97"/>
        <v>5.4121054399999995</v>
      </c>
      <c r="AD115" s="68"/>
      <c r="AE115" s="68">
        <f>0.73827+0.50295</f>
        <v>1.24122</v>
      </c>
      <c r="AF115" s="88">
        <f t="shared" si="91"/>
        <v>1.24122</v>
      </c>
      <c r="AH115" s="94">
        <f t="shared" si="92"/>
        <v>6.6533254399999997</v>
      </c>
      <c r="AI115" s="32"/>
      <c r="AJ115" s="106"/>
      <c r="AK115" s="130"/>
      <c r="AL115" s="137"/>
      <c r="AM115" s="113">
        <f t="shared" si="93"/>
        <v>0</v>
      </c>
      <c r="AO115" s="94">
        <f t="shared" si="98"/>
        <v>6.6533254399999997</v>
      </c>
    </row>
    <row r="116" spans="1:41" ht="13.5" thickBot="1" x14ac:dyDescent="0.25">
      <c r="A116" s="26" t="s">
        <v>106</v>
      </c>
      <c r="C116" s="66"/>
      <c r="D116" s="66"/>
      <c r="E116" s="66"/>
      <c r="F116" s="66"/>
      <c r="G116" s="66"/>
      <c r="H116" s="66"/>
      <c r="I116" s="66"/>
      <c r="J116" s="69"/>
      <c r="K116" s="67"/>
      <c r="L116" s="67"/>
      <c r="M116" s="67"/>
      <c r="N116" s="88">
        <f t="shared" ref="N116" si="210">SUM(C116:M116)</f>
        <v>0</v>
      </c>
      <c r="P116" s="70"/>
      <c r="Q116" s="70"/>
      <c r="R116" s="70"/>
      <c r="S116" s="70"/>
      <c r="T116" s="71"/>
      <c r="U116" s="88">
        <f t="shared" ref="U116" si="211">SUM(P116:T116)</f>
        <v>0</v>
      </c>
      <c r="W116" s="71"/>
      <c r="X116" s="71"/>
      <c r="Y116" s="71"/>
      <c r="Z116" s="71"/>
      <c r="AA116" s="71">
        <v>0.75</v>
      </c>
      <c r="AB116" s="88">
        <f t="shared" ref="AB116" si="212">SUM(W116:AA116)</f>
        <v>0.75</v>
      </c>
      <c r="AD116" s="71">
        <v>0.4</v>
      </c>
      <c r="AE116" s="71">
        <v>0.52500000000000002</v>
      </c>
      <c r="AF116" s="88">
        <f t="shared" si="91"/>
        <v>0.92500000000000004</v>
      </c>
      <c r="AH116" s="94">
        <f t="shared" si="92"/>
        <v>1.675</v>
      </c>
      <c r="AI116" s="32"/>
      <c r="AJ116" s="106"/>
      <c r="AK116" s="130"/>
      <c r="AL116" s="137"/>
      <c r="AM116" s="113">
        <f t="shared" si="93"/>
        <v>0</v>
      </c>
      <c r="AO116" s="94">
        <f t="shared" si="98"/>
        <v>1.675</v>
      </c>
    </row>
    <row r="117" spans="1:41" ht="13.5" thickBot="1" x14ac:dyDescent="0.25">
      <c r="A117" s="16" t="s">
        <v>107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87">
        <f t="shared" ref="N117:N122" si="213">SUM(C117:M117)</f>
        <v>0</v>
      </c>
      <c r="P117" s="67"/>
      <c r="Q117" s="67"/>
      <c r="R117" s="67"/>
      <c r="S117" s="67"/>
      <c r="T117" s="67"/>
      <c r="U117" s="87">
        <f t="shared" ref="U117:U122" si="214">SUM(P117:T117)</f>
        <v>0</v>
      </c>
      <c r="W117" s="36"/>
      <c r="X117" s="36"/>
      <c r="Y117" s="36"/>
      <c r="Z117" s="36"/>
      <c r="AA117" s="68"/>
      <c r="AB117" s="87">
        <f t="shared" ref="AB117:AB122" si="215">SUM(W117:AA117)</f>
        <v>0</v>
      </c>
      <c r="AD117" s="68"/>
      <c r="AE117" s="68"/>
      <c r="AF117" s="87">
        <f t="shared" si="91"/>
        <v>0</v>
      </c>
      <c r="AH117" s="94">
        <f t="shared" si="92"/>
        <v>0</v>
      </c>
      <c r="AI117" s="32"/>
      <c r="AJ117" s="106"/>
      <c r="AK117" s="130">
        <f>0.05775626+0.11790367+0.18070112+1.08808391+0.18313778+0.15568513+0.03736572+0.05957201+0.03600741+0.03849519+0.05089002</f>
        <v>2.0055982199999995</v>
      </c>
      <c r="AL117" s="137">
        <v>0.26966652999999996</v>
      </c>
      <c r="AM117" s="113">
        <f t="shared" si="93"/>
        <v>2.2752647499999994</v>
      </c>
      <c r="AO117" s="94">
        <f t="shared" ref="AO117:AO122" si="216">SUM(AH117,AM117)</f>
        <v>2.2752647499999994</v>
      </c>
    </row>
    <row r="118" spans="1:41" ht="13.5" thickBot="1" x14ac:dyDescent="0.25">
      <c r="A118" s="16" t="s">
        <v>108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87">
        <f t="shared" si="213"/>
        <v>0</v>
      </c>
      <c r="P118" s="67"/>
      <c r="Q118" s="67"/>
      <c r="R118" s="67"/>
      <c r="S118" s="67"/>
      <c r="T118" s="67"/>
      <c r="U118" s="87">
        <f t="shared" si="214"/>
        <v>0</v>
      </c>
      <c r="W118" s="36"/>
      <c r="X118" s="36"/>
      <c r="Y118" s="36"/>
      <c r="Z118" s="36"/>
      <c r="AA118" s="68"/>
      <c r="AB118" s="87">
        <f t="shared" si="215"/>
        <v>0</v>
      </c>
      <c r="AD118" s="68"/>
      <c r="AE118" s="68"/>
      <c r="AF118" s="87">
        <f t="shared" si="91"/>
        <v>0</v>
      </c>
      <c r="AH118" s="94">
        <f t="shared" si="92"/>
        <v>0</v>
      </c>
      <c r="AI118" s="32"/>
      <c r="AJ118" s="106"/>
      <c r="AK118" s="130">
        <v>4.5</v>
      </c>
      <c r="AL118" s="137"/>
      <c r="AM118" s="113">
        <f t="shared" si="93"/>
        <v>4.5</v>
      </c>
      <c r="AO118" s="94">
        <f t="shared" si="216"/>
        <v>4.5</v>
      </c>
    </row>
    <row r="119" spans="1:41" ht="13.5" thickBot="1" x14ac:dyDescent="0.25">
      <c r="A119" s="16" t="s">
        <v>124</v>
      </c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87">
        <f t="shared" ref="N119" si="217">SUM(C119:M119)</f>
        <v>0</v>
      </c>
      <c r="P119" s="67"/>
      <c r="Q119" s="67"/>
      <c r="R119" s="67"/>
      <c r="S119" s="67"/>
      <c r="T119" s="67"/>
      <c r="U119" s="87">
        <f t="shared" ref="U119" si="218">SUM(P119:T119)</f>
        <v>0</v>
      </c>
      <c r="W119" s="36"/>
      <c r="X119" s="36"/>
      <c r="Y119" s="36"/>
      <c r="Z119" s="36"/>
      <c r="AA119" s="68"/>
      <c r="AB119" s="87">
        <f t="shared" ref="AB119" si="219">SUM(W119:AA119)</f>
        <v>0</v>
      </c>
      <c r="AD119" s="68"/>
      <c r="AE119" s="68">
        <v>0.31466125</v>
      </c>
      <c r="AF119" s="87">
        <f t="shared" ref="AF119" si="220">SUM(AD119:AE119)</f>
        <v>0.31466125</v>
      </c>
      <c r="AH119" s="94">
        <f t="shared" ref="AH119" si="221">SUM(AB119,U119,N119,AF119)</f>
        <v>0.31466125</v>
      </c>
      <c r="AI119" s="32"/>
      <c r="AJ119" s="106"/>
      <c r="AK119" s="130"/>
      <c r="AL119" s="137"/>
      <c r="AM119" s="113">
        <f t="shared" ref="AM119" si="222">SUM(AJ119:AL119)</f>
        <v>0</v>
      </c>
      <c r="AO119" s="94">
        <f t="shared" ref="AO119" si="223">SUM(AH119,AM119)</f>
        <v>0.31466125</v>
      </c>
    </row>
    <row r="120" spans="1:41" ht="26.25" thickBot="1" x14ac:dyDescent="0.25">
      <c r="A120" s="16" t="s">
        <v>121</v>
      </c>
      <c r="C120" s="66"/>
      <c r="D120" s="66"/>
      <c r="E120" s="66"/>
      <c r="F120" s="66"/>
      <c r="G120" s="66"/>
      <c r="H120" s="66"/>
      <c r="I120" s="66"/>
      <c r="J120" s="69"/>
      <c r="K120" s="67"/>
      <c r="L120" s="67"/>
      <c r="M120" s="67"/>
      <c r="N120" s="88">
        <f t="shared" ref="N120" si="224">SUM(C120:M120)</f>
        <v>0</v>
      </c>
      <c r="P120" s="70"/>
      <c r="Q120" s="70"/>
      <c r="R120" s="70"/>
      <c r="S120" s="70"/>
      <c r="T120" s="71"/>
      <c r="U120" s="88">
        <f t="shared" ref="U120" si="225">SUM(P120:T120)</f>
        <v>0</v>
      </c>
      <c r="W120" s="71"/>
      <c r="X120" s="71"/>
      <c r="Y120" s="71"/>
      <c r="Z120" s="71"/>
      <c r="AA120" s="71"/>
      <c r="AB120" s="88">
        <f t="shared" ref="AB120" si="226">SUM(W120:AA120)</f>
        <v>0</v>
      </c>
      <c r="AD120" s="71"/>
      <c r="AE120" s="71"/>
      <c r="AF120" s="88">
        <f t="shared" ref="AF120" si="227">SUM(AD120:AE120)</f>
        <v>0</v>
      </c>
      <c r="AH120" s="94">
        <f t="shared" ref="AH120" si="228">SUM(AB120,U120,N120,AF120)</f>
        <v>0</v>
      </c>
      <c r="AI120" s="32"/>
      <c r="AJ120" s="106"/>
      <c r="AK120" s="130"/>
      <c r="AL120" s="137">
        <f>5.40756035+2.02152416</f>
        <v>7.4290845099999991</v>
      </c>
      <c r="AM120" s="113">
        <f t="shared" ref="AM120" si="229">SUM(AJ120:AL120)</f>
        <v>7.4290845099999991</v>
      </c>
      <c r="AO120" s="94">
        <f t="shared" ref="AO120" si="230">SUM(AH120,AM120)</f>
        <v>7.4290845099999991</v>
      </c>
    </row>
    <row r="121" spans="1:41" ht="13.5" thickBot="1" x14ac:dyDescent="0.25">
      <c r="A121" s="26" t="s">
        <v>109</v>
      </c>
      <c r="C121" s="66"/>
      <c r="D121" s="66"/>
      <c r="E121" s="66"/>
      <c r="F121" s="66"/>
      <c r="G121" s="66"/>
      <c r="H121" s="66"/>
      <c r="I121" s="66"/>
      <c r="J121" s="69"/>
      <c r="K121" s="67"/>
      <c r="L121" s="67"/>
      <c r="M121" s="67"/>
      <c r="N121" s="88">
        <f t="shared" ref="N121" si="231">SUM(C121:M121)</f>
        <v>0</v>
      </c>
      <c r="P121" s="70"/>
      <c r="Q121" s="70"/>
      <c r="R121" s="70"/>
      <c r="S121" s="70"/>
      <c r="T121" s="71"/>
      <c r="U121" s="88">
        <f t="shared" ref="U121" si="232">SUM(P121:T121)</f>
        <v>0</v>
      </c>
      <c r="W121" s="71"/>
      <c r="X121" s="71"/>
      <c r="Y121" s="71"/>
      <c r="Z121" s="71"/>
      <c r="AA121" s="71"/>
      <c r="AB121" s="88">
        <f t="shared" ref="AB121" si="233">SUM(W121:AA121)</f>
        <v>0</v>
      </c>
      <c r="AD121" s="71"/>
      <c r="AE121" s="71"/>
      <c r="AF121" s="88">
        <f t="shared" si="91"/>
        <v>0</v>
      </c>
      <c r="AH121" s="94">
        <f t="shared" si="92"/>
        <v>0</v>
      </c>
      <c r="AI121" s="32"/>
      <c r="AJ121" s="106">
        <v>3.2370000000000001E-4</v>
      </c>
      <c r="AK121" s="130"/>
      <c r="AL121" s="137"/>
      <c r="AM121" s="113">
        <f t="shared" si="93"/>
        <v>3.2370000000000001E-4</v>
      </c>
      <c r="AO121" s="94">
        <f t="shared" si="216"/>
        <v>3.2370000000000001E-4</v>
      </c>
    </row>
    <row r="122" spans="1:41" ht="13.5" thickBot="1" x14ac:dyDescent="0.25">
      <c r="A122" s="16" t="s">
        <v>110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87">
        <f t="shared" si="213"/>
        <v>0</v>
      </c>
      <c r="P122" s="67"/>
      <c r="Q122" s="67"/>
      <c r="R122" s="67"/>
      <c r="S122" s="67"/>
      <c r="T122" s="67"/>
      <c r="U122" s="87">
        <f t="shared" si="214"/>
        <v>0</v>
      </c>
      <c r="W122" s="36"/>
      <c r="X122" s="36"/>
      <c r="Y122" s="36"/>
      <c r="Z122" s="36"/>
      <c r="AA122" s="68"/>
      <c r="AB122" s="87">
        <f t="shared" si="215"/>
        <v>0</v>
      </c>
      <c r="AD122" s="68"/>
      <c r="AE122" s="68"/>
      <c r="AF122" s="87">
        <f t="shared" si="91"/>
        <v>0</v>
      </c>
      <c r="AH122" s="94">
        <f t="shared" si="92"/>
        <v>0</v>
      </c>
      <c r="AI122" s="32"/>
      <c r="AJ122" s="106"/>
      <c r="AK122" s="130">
        <v>0.1</v>
      </c>
      <c r="AL122" s="137">
        <v>0.25</v>
      </c>
      <c r="AM122" s="113">
        <f t="shared" si="93"/>
        <v>0.35</v>
      </c>
      <c r="AO122" s="94">
        <f t="shared" si="216"/>
        <v>0.35</v>
      </c>
    </row>
    <row r="123" spans="1:41" ht="15" thickBot="1" x14ac:dyDescent="0.25">
      <c r="A123" s="25" t="s">
        <v>139</v>
      </c>
      <c r="C123" s="98">
        <v>0.02</v>
      </c>
      <c r="D123" s="67"/>
      <c r="E123" s="67">
        <v>1.6303609999999999</v>
      </c>
      <c r="F123" s="67">
        <v>2.5808469999999999</v>
      </c>
      <c r="G123" s="67">
        <v>1.805051</v>
      </c>
      <c r="H123" s="35">
        <v>0.47348000000000001</v>
      </c>
      <c r="I123" s="67">
        <v>1.904352</v>
      </c>
      <c r="J123" s="67">
        <v>1.1000000000000001</v>
      </c>
      <c r="K123" s="67">
        <v>0.8</v>
      </c>
      <c r="L123" s="67">
        <v>1</v>
      </c>
      <c r="M123" s="67">
        <v>1</v>
      </c>
      <c r="N123" s="88">
        <f t="shared" si="95"/>
        <v>12.314090999999999</v>
      </c>
      <c r="P123" s="67">
        <v>4.1880000000000006</v>
      </c>
      <c r="Q123" s="67">
        <v>12.410399999999999</v>
      </c>
      <c r="R123" s="67">
        <v>17.291645600000003</v>
      </c>
      <c r="S123" s="67">
        <v>30.442237090000003</v>
      </c>
      <c r="T123" s="68">
        <v>26.804853870000002</v>
      </c>
      <c r="U123" s="88">
        <f t="shared" si="96"/>
        <v>91.137136560000002</v>
      </c>
      <c r="W123" s="36">
        <v>11.515829899999998</v>
      </c>
      <c r="X123" s="36">
        <v>15.869898710000001</v>
      </c>
      <c r="Y123" s="36">
        <v>5.769596599999999</v>
      </c>
      <c r="Z123" s="68">
        <v>4.67320139</v>
      </c>
      <c r="AA123" s="68">
        <v>1.1763695000000001</v>
      </c>
      <c r="AB123" s="88">
        <f t="shared" si="97"/>
        <v>39.004896100000003</v>
      </c>
      <c r="AD123" s="68">
        <v>1.08764014</v>
      </c>
      <c r="AE123" s="68">
        <f>1.13689354+0.2654</f>
        <v>1.4022935400000001</v>
      </c>
      <c r="AF123" s="88">
        <f t="shared" si="91"/>
        <v>2.48993368</v>
      </c>
      <c r="AH123" s="95">
        <f t="shared" si="92"/>
        <v>144.94605734000001</v>
      </c>
      <c r="AI123" s="32"/>
      <c r="AJ123" s="106">
        <v>22.043315</v>
      </c>
      <c r="AK123" s="130">
        <f>23.33269369+0.11552911+0.01947461+1</f>
        <v>24.46769741</v>
      </c>
      <c r="AL123" s="137">
        <f>67.57105933+0.07245623+0.0070338</f>
        <v>67.650549359999999</v>
      </c>
      <c r="AM123" s="113">
        <f t="shared" si="93"/>
        <v>114.16156176999999</v>
      </c>
      <c r="AO123" s="95">
        <f t="shared" si="98"/>
        <v>259.10761910999997</v>
      </c>
    </row>
    <row r="124" spans="1:41" ht="26.25" thickBot="1" x14ac:dyDescent="0.25">
      <c r="A124" s="13" t="s">
        <v>111</v>
      </c>
      <c r="C124" s="74">
        <f t="shared" ref="C124:N124" si="234">SUM(C66:C123)</f>
        <v>325.02</v>
      </c>
      <c r="D124" s="74">
        <f t="shared" si="234"/>
        <v>425</v>
      </c>
      <c r="E124" s="74">
        <f t="shared" si="234"/>
        <v>1.6303609999999999</v>
      </c>
      <c r="F124" s="74">
        <f t="shared" si="234"/>
        <v>6.0808470000000003</v>
      </c>
      <c r="G124" s="74">
        <f t="shared" si="234"/>
        <v>6.8050509999999997</v>
      </c>
      <c r="H124" s="74">
        <f t="shared" si="234"/>
        <v>154.81147999999999</v>
      </c>
      <c r="I124" s="74">
        <f t="shared" si="234"/>
        <v>1.904352</v>
      </c>
      <c r="J124" s="74">
        <f t="shared" si="234"/>
        <v>76.099999999999994</v>
      </c>
      <c r="K124" s="74">
        <f t="shared" si="234"/>
        <v>81.599999999999994</v>
      </c>
      <c r="L124" s="74">
        <f t="shared" si="234"/>
        <v>81.900000000000006</v>
      </c>
      <c r="M124" s="74">
        <f t="shared" si="234"/>
        <v>80</v>
      </c>
      <c r="N124" s="102">
        <f t="shared" si="234"/>
        <v>1240.852091</v>
      </c>
      <c r="P124" s="74">
        <f t="shared" ref="P124:U124" si="235">SUM(P66:P123)</f>
        <v>285.46560800000003</v>
      </c>
      <c r="Q124" s="74">
        <f t="shared" si="235"/>
        <v>292.87747949999999</v>
      </c>
      <c r="R124" s="74">
        <f t="shared" si="235"/>
        <v>313.16529444999998</v>
      </c>
      <c r="S124" s="74">
        <f t="shared" si="235"/>
        <v>260.29896681999998</v>
      </c>
      <c r="T124" s="74">
        <f t="shared" si="235"/>
        <v>273.12786321999999</v>
      </c>
      <c r="U124" s="102">
        <f t="shared" si="235"/>
        <v>1424.93521199</v>
      </c>
      <c r="W124" s="74">
        <f t="shared" ref="W124:AB124" si="236">SUM(W66:W123)</f>
        <v>295.24200624999992</v>
      </c>
      <c r="X124" s="74">
        <f t="shared" si="236"/>
        <v>344.95699544000001</v>
      </c>
      <c r="Y124" s="74">
        <f t="shared" si="236"/>
        <v>350.40386627999993</v>
      </c>
      <c r="Z124" s="74">
        <f t="shared" si="236"/>
        <v>330.62749709000002</v>
      </c>
      <c r="AA124" s="74">
        <f t="shared" si="236"/>
        <v>312.53591469000003</v>
      </c>
      <c r="AB124" s="102">
        <f t="shared" si="236"/>
        <v>1633.76627975</v>
      </c>
      <c r="AD124" s="74">
        <f>SUM(AD66:AD123)</f>
        <v>216.25597030999998</v>
      </c>
      <c r="AE124" s="74">
        <f>SUM(AE66:AE123)</f>
        <v>360.04606560999997</v>
      </c>
      <c r="AF124" s="102">
        <f>SUM(AF66:AF123)</f>
        <v>576.30203591999975</v>
      </c>
      <c r="AH124" s="101">
        <f>SUM(AH66:AH123)</f>
        <v>4875.8556186600026</v>
      </c>
      <c r="AI124" s="11"/>
      <c r="AJ124" s="108">
        <f>SUM(AJ66:AJ123)</f>
        <v>67.043638700000002</v>
      </c>
      <c r="AK124" s="132">
        <f>SUM(AK64:AK123)</f>
        <v>311.16281314000014</v>
      </c>
      <c r="AL124" s="110">
        <f>SUM(AL64:AL123)</f>
        <v>88.144631070000003</v>
      </c>
      <c r="AM124" s="110">
        <f>SUM(AM66:AM123)</f>
        <v>466.00108291000015</v>
      </c>
      <c r="AO124" s="101">
        <f>SUM(AO66:AO123)</f>
        <v>5341.8567015700037</v>
      </c>
    </row>
    <row r="125" spans="1:41" ht="13.5" thickBot="1" x14ac:dyDescent="0.25">
      <c r="A125" s="14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18"/>
      <c r="P125" s="75"/>
      <c r="Q125" s="75"/>
      <c r="R125" s="75"/>
      <c r="S125" s="75"/>
      <c r="T125" s="75"/>
      <c r="U125" s="18"/>
      <c r="W125" s="75"/>
      <c r="X125" s="75"/>
      <c r="Y125" s="75"/>
      <c r="Z125" s="75"/>
      <c r="AA125" s="75"/>
      <c r="AB125" s="18"/>
      <c r="AD125" s="75"/>
      <c r="AE125" s="75"/>
      <c r="AF125" s="18"/>
      <c r="AH125" s="103"/>
      <c r="AI125" s="11"/>
      <c r="AJ125" s="99"/>
      <c r="AK125" s="99"/>
      <c r="AL125" s="99"/>
      <c r="AM125" s="99"/>
      <c r="AO125" s="104"/>
    </row>
    <row r="126" spans="1:41" ht="13.5" thickBot="1" x14ac:dyDescent="0.25">
      <c r="A126" s="19" t="s">
        <v>112</v>
      </c>
      <c r="C126" s="76">
        <f t="shared" ref="C126:N126" si="237">C62+C124</f>
        <v>329.48339999999996</v>
      </c>
      <c r="D126" s="76">
        <f t="shared" si="237"/>
        <v>518.08656439000004</v>
      </c>
      <c r="E126" s="76">
        <f t="shared" si="237"/>
        <v>107.88534496</v>
      </c>
      <c r="F126" s="76">
        <f t="shared" si="237"/>
        <v>116.99487873000001</v>
      </c>
      <c r="G126" s="76">
        <f t="shared" si="237"/>
        <v>167.20320235999998</v>
      </c>
      <c r="H126" s="76">
        <f t="shared" si="237"/>
        <v>429.73539605999997</v>
      </c>
      <c r="I126" s="76">
        <f t="shared" si="237"/>
        <v>218.10446149000003</v>
      </c>
      <c r="J126" s="76">
        <f t="shared" si="237"/>
        <v>358.39137800000003</v>
      </c>
      <c r="K126" s="76">
        <f t="shared" si="237"/>
        <v>350.92929426000001</v>
      </c>
      <c r="L126" s="76">
        <f t="shared" si="237"/>
        <v>337.88825982000003</v>
      </c>
      <c r="M126" s="76">
        <f t="shared" si="237"/>
        <v>332.64002400000004</v>
      </c>
      <c r="N126" s="100">
        <f t="shared" si="237"/>
        <v>3267.3422040699998</v>
      </c>
      <c r="P126" s="76">
        <f t="shared" ref="P126:U126" si="238">P62+P124</f>
        <v>798.35660800000005</v>
      </c>
      <c r="Q126" s="76">
        <f t="shared" si="238"/>
        <v>908.0821338400001</v>
      </c>
      <c r="R126" s="76">
        <f t="shared" si="238"/>
        <v>1307.5018276000001</v>
      </c>
      <c r="S126" s="76">
        <f t="shared" si="238"/>
        <v>1181.1065951600001</v>
      </c>
      <c r="T126" s="76">
        <f t="shared" si="238"/>
        <v>1275.10837741</v>
      </c>
      <c r="U126" s="100">
        <f t="shared" si="238"/>
        <v>5470.1555420099994</v>
      </c>
      <c r="W126" s="76">
        <f t="shared" ref="W126:AB126" si="239">W62+W124</f>
        <v>1468.4981930200001</v>
      </c>
      <c r="X126" s="76">
        <f t="shared" si="239"/>
        <v>1470.5011569100002</v>
      </c>
      <c r="Y126" s="76">
        <f t="shared" si="239"/>
        <v>1488.3740361124999</v>
      </c>
      <c r="Z126" s="76">
        <f t="shared" si="239"/>
        <v>1610.6591853100003</v>
      </c>
      <c r="AA126" s="76">
        <f t="shared" si="239"/>
        <v>1463.2410690758161</v>
      </c>
      <c r="AB126" s="100">
        <f t="shared" si="239"/>
        <v>7501.273640428316</v>
      </c>
      <c r="AD126" s="76">
        <f>AD62+AD124</f>
        <v>1080.22105121</v>
      </c>
      <c r="AE126" s="76">
        <f>AE62+AE124</f>
        <v>1474.4801041819292</v>
      </c>
      <c r="AF126" s="100">
        <f>AF62+AF124</f>
        <v>2554.7011553919292</v>
      </c>
      <c r="AH126" s="100">
        <f>AH62+AH124</f>
        <v>18793.47254190025</v>
      </c>
      <c r="AI126" s="11"/>
      <c r="AJ126" s="108">
        <f>AJ62+AJ124</f>
        <v>353.31397632999995</v>
      </c>
      <c r="AK126" s="132">
        <f>AK62+AK124</f>
        <v>7027.7897662500009</v>
      </c>
      <c r="AL126" s="110">
        <f>AL62+AL124</f>
        <v>1577.18394347</v>
      </c>
      <c r="AM126" s="110">
        <f>AM62+AM124</f>
        <v>8957.9376860499979</v>
      </c>
      <c r="AO126" s="100">
        <f>AO62+AO124</f>
        <v>27751.410227950248</v>
      </c>
    </row>
    <row r="127" spans="1:41" ht="13.5" thickBot="1" x14ac:dyDescent="0.25">
      <c r="A127" s="20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18"/>
      <c r="P127" s="75"/>
      <c r="Q127" s="75"/>
      <c r="R127" s="75"/>
      <c r="S127" s="75"/>
      <c r="T127" s="75"/>
      <c r="U127" s="18"/>
      <c r="W127" s="75"/>
      <c r="X127" s="75"/>
      <c r="Y127" s="75"/>
      <c r="Z127" s="75"/>
      <c r="AA127" s="75"/>
      <c r="AB127" s="18"/>
      <c r="AD127" s="75"/>
      <c r="AE127" s="75"/>
      <c r="AF127" s="18"/>
      <c r="AH127" s="18"/>
      <c r="AI127" s="11"/>
      <c r="AK127" s="124"/>
      <c r="AL127" s="124"/>
    </row>
    <row r="128" spans="1:41" ht="15" thickBot="1" x14ac:dyDescent="0.25">
      <c r="A128" s="21" t="s">
        <v>140</v>
      </c>
      <c r="C128" s="62"/>
      <c r="D128" s="62"/>
      <c r="E128" s="62"/>
      <c r="F128" s="62"/>
      <c r="G128" s="62"/>
      <c r="H128" s="62"/>
      <c r="I128" s="62">
        <v>524.74928499999999</v>
      </c>
      <c r="J128" s="62">
        <v>428.268866</v>
      </c>
      <c r="K128" s="62">
        <v>272.63813299999998</v>
      </c>
      <c r="L128" s="62">
        <v>330.02699999999999</v>
      </c>
      <c r="M128" s="62">
        <v>320</v>
      </c>
      <c r="N128" s="101">
        <f t="shared" ref="N128:N129" si="240">SUM(C128:M128)</f>
        <v>1875.683284</v>
      </c>
      <c r="P128" s="62">
        <v>300</v>
      </c>
      <c r="Q128" s="62">
        <v>100</v>
      </c>
      <c r="R128" s="62">
        <v>200</v>
      </c>
      <c r="S128" s="77">
        <v>0</v>
      </c>
      <c r="T128" s="77">
        <v>0</v>
      </c>
      <c r="U128" s="101">
        <f t="shared" ref="U128:U129" si="241">SUM(P128:T128)</f>
        <v>600</v>
      </c>
      <c r="W128" s="77">
        <v>100</v>
      </c>
      <c r="X128" s="77">
        <v>0</v>
      </c>
      <c r="Y128" s="77">
        <v>50</v>
      </c>
      <c r="Z128" s="77">
        <f>65.69998245+250</f>
        <v>315.69998244999999</v>
      </c>
      <c r="AA128" s="77">
        <f>200+200.36460762+6.07750001</f>
        <v>406.44210763000001</v>
      </c>
      <c r="AB128" s="101">
        <f t="shared" ref="AB128:AB129" si="242">SUM(W128:AA128)</f>
        <v>872.14209008</v>
      </c>
      <c r="AD128" s="77">
        <f>100+334.4</f>
        <v>434.4</v>
      </c>
      <c r="AE128" s="77">
        <f>275+130+229</f>
        <v>634</v>
      </c>
      <c r="AF128" s="101">
        <f>SUM(AD128:AE128)</f>
        <v>1068.4000000000001</v>
      </c>
      <c r="AH128" s="101">
        <f t="shared" ref="AH128:AH129" si="243">SUM(AB128,U128,N128,AF128)</f>
        <v>4416.2253740800006</v>
      </c>
      <c r="AI128" s="8"/>
      <c r="AJ128" s="108"/>
      <c r="AK128" s="132">
        <f>400+380</f>
        <v>780</v>
      </c>
      <c r="AL128" s="110">
        <v>195</v>
      </c>
      <c r="AM128" s="110">
        <f>SUM(AJ128:AL128)</f>
        <v>975</v>
      </c>
      <c r="AO128" s="101">
        <f>SUM(AH128,AM128)</f>
        <v>5391.2253740800006</v>
      </c>
    </row>
    <row r="129" spans="1:41" ht="15" thickBot="1" x14ac:dyDescent="0.25">
      <c r="A129" s="21" t="s">
        <v>141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>
        <v>42.877049999999997</v>
      </c>
      <c r="N129" s="101">
        <f t="shared" si="240"/>
        <v>42.877049999999997</v>
      </c>
      <c r="P129" s="62">
        <f>128165700/1000000</f>
        <v>128.16569999999999</v>
      </c>
      <c r="Q129" s="62">
        <v>223.5</v>
      </c>
      <c r="R129" s="62">
        <v>214.42</v>
      </c>
      <c r="S129" s="62">
        <f>25+65+6+36.72+105</f>
        <v>237.72</v>
      </c>
      <c r="T129" s="62">
        <f>10+100+12.96</f>
        <v>122.96000000000001</v>
      </c>
      <c r="U129" s="101">
        <f t="shared" si="241"/>
        <v>926.76570000000004</v>
      </c>
      <c r="W129" s="62">
        <f>17+73+8.5+8.64</f>
        <v>107.14</v>
      </c>
      <c r="X129" s="62">
        <f>18.21725+16.5</f>
        <v>34.71725</v>
      </c>
      <c r="Y129" s="62">
        <f>25+20+11.5425</f>
        <v>56.542500000000004</v>
      </c>
      <c r="Z129" s="62">
        <f>55+7.695+6.7625</f>
        <v>69.457499999999996</v>
      </c>
      <c r="AA129" s="62">
        <f>27+48</f>
        <v>75</v>
      </c>
      <c r="AB129" s="101">
        <f t="shared" si="242"/>
        <v>342.85724999999996</v>
      </c>
      <c r="AD129" s="62">
        <v>0</v>
      </c>
      <c r="AE129" s="62">
        <v>0</v>
      </c>
      <c r="AF129" s="101">
        <f>SUM(AD129:AE129)</f>
        <v>0</v>
      </c>
      <c r="AH129" s="101">
        <f t="shared" si="243"/>
        <v>1312.5</v>
      </c>
      <c r="AI129" s="8"/>
      <c r="AJ129" s="37"/>
      <c r="AK129" s="124"/>
      <c r="AL129" s="124"/>
      <c r="AM129" s="37"/>
      <c r="AO129" s="101">
        <f>SUM(AH129,AM129)</f>
        <v>1312.5</v>
      </c>
    </row>
    <row r="130" spans="1:41" ht="13.5" thickBot="1" x14ac:dyDescent="0.25">
      <c r="A130" s="20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15"/>
      <c r="P130" s="63"/>
      <c r="Q130" s="63"/>
      <c r="R130" s="63"/>
      <c r="S130" s="63"/>
      <c r="T130" s="63"/>
      <c r="U130" s="15"/>
      <c r="W130" s="63"/>
      <c r="X130" s="63"/>
      <c r="Y130" s="63"/>
      <c r="Z130" s="63"/>
      <c r="AA130" s="63"/>
      <c r="AB130" s="15"/>
      <c r="AD130" s="63"/>
      <c r="AE130" s="63"/>
      <c r="AF130" s="15"/>
      <c r="AH130" s="15"/>
      <c r="AI130" s="11"/>
      <c r="AK130" s="124"/>
      <c r="AL130" s="124"/>
    </row>
    <row r="131" spans="1:41" ht="13.5" thickBot="1" x14ac:dyDescent="0.25">
      <c r="A131" s="22" t="s">
        <v>113</v>
      </c>
      <c r="C131" s="78">
        <f t="shared" ref="C131:N131" si="244">SUM(C126:C129)</f>
        <v>329.48339999999996</v>
      </c>
      <c r="D131" s="78">
        <f t="shared" si="244"/>
        <v>518.08656439000004</v>
      </c>
      <c r="E131" s="78">
        <f t="shared" si="244"/>
        <v>107.88534496</v>
      </c>
      <c r="F131" s="78">
        <f t="shared" si="244"/>
        <v>116.99487873000001</v>
      </c>
      <c r="G131" s="78">
        <f t="shared" si="244"/>
        <v>167.20320235999998</v>
      </c>
      <c r="H131" s="78">
        <f t="shared" si="244"/>
        <v>429.73539605999997</v>
      </c>
      <c r="I131" s="78">
        <f t="shared" si="244"/>
        <v>742.85374649000005</v>
      </c>
      <c r="J131" s="78">
        <f t="shared" si="244"/>
        <v>786.66024400000003</v>
      </c>
      <c r="K131" s="78">
        <f t="shared" si="244"/>
        <v>623.56742725999993</v>
      </c>
      <c r="L131" s="78">
        <f t="shared" si="244"/>
        <v>667.91525982000007</v>
      </c>
      <c r="M131" s="78">
        <f t="shared" si="244"/>
        <v>695.51707400000009</v>
      </c>
      <c r="N131" s="100">
        <f t="shared" si="244"/>
        <v>5185.9025380699995</v>
      </c>
      <c r="P131" s="78">
        <f t="shared" ref="P131:U131" si="245">SUM(P126:P129)</f>
        <v>1226.5223080000001</v>
      </c>
      <c r="Q131" s="78">
        <f t="shared" si="245"/>
        <v>1231.5821338400001</v>
      </c>
      <c r="R131" s="78">
        <f t="shared" si="245"/>
        <v>1721.9218276000001</v>
      </c>
      <c r="S131" s="78">
        <f t="shared" si="245"/>
        <v>1418.8265951600001</v>
      </c>
      <c r="T131" s="78">
        <f t="shared" si="245"/>
        <v>1398.06837741</v>
      </c>
      <c r="U131" s="100">
        <f t="shared" si="245"/>
        <v>6996.9212420099993</v>
      </c>
      <c r="W131" s="78">
        <f t="shared" ref="W131:AB131" si="246">SUM(W126:W129)</f>
        <v>1675.6381930200002</v>
      </c>
      <c r="X131" s="78">
        <f t="shared" si="246"/>
        <v>1505.2184069100001</v>
      </c>
      <c r="Y131" s="78">
        <f t="shared" si="246"/>
        <v>1594.9165361124999</v>
      </c>
      <c r="Z131" s="78">
        <f t="shared" si="246"/>
        <v>1995.8166677600002</v>
      </c>
      <c r="AA131" s="78">
        <f t="shared" si="246"/>
        <v>1944.6831767058161</v>
      </c>
      <c r="AB131" s="100">
        <f t="shared" si="246"/>
        <v>8716.2729805083145</v>
      </c>
      <c r="AD131" s="78">
        <f>SUM(AD126:AD129)</f>
        <v>1514.6210512100001</v>
      </c>
      <c r="AE131" s="78">
        <f>SUM(AE126:AE129)</f>
        <v>2108.4801041819292</v>
      </c>
      <c r="AF131" s="100">
        <f t="shared" ref="AF131" si="247">SUM(AF126:AF129)</f>
        <v>3623.1011553919293</v>
      </c>
      <c r="AH131" s="100">
        <f>SUM(AH126:AH129)</f>
        <v>24522.19791598025</v>
      </c>
      <c r="AI131" s="11"/>
      <c r="AJ131" s="108">
        <f>SUM(AJ126:AJ129)</f>
        <v>353.31397632999995</v>
      </c>
      <c r="AK131" s="132">
        <f>SUM(AK126:AK129)</f>
        <v>7807.7897662500009</v>
      </c>
      <c r="AL131" s="110">
        <f>SUM(AL126:AL129)</f>
        <v>1772.18394347</v>
      </c>
      <c r="AM131" s="110">
        <f>SUM(AJ131:AL131)</f>
        <v>9933.28768605</v>
      </c>
      <c r="AO131" s="100">
        <f>SUM(AH131,AM131)</f>
        <v>34455.485602030254</v>
      </c>
    </row>
    <row r="132" spans="1:41" x14ac:dyDescent="0.2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P132" s="23"/>
      <c r="Q132" s="23"/>
      <c r="R132" s="23"/>
      <c r="S132" s="23"/>
      <c r="T132" s="23"/>
      <c r="U132" s="23"/>
      <c r="W132" s="23"/>
      <c r="X132" s="23"/>
      <c r="Y132" s="23"/>
      <c r="Z132" s="23"/>
      <c r="AA132" s="23"/>
      <c r="AB132" s="23"/>
      <c r="AD132" s="23"/>
      <c r="AE132" s="23"/>
      <c r="AH132" s="23"/>
      <c r="AK132" s="124"/>
      <c r="AL132" s="124"/>
    </row>
    <row r="133" spans="1:41" ht="13.5" thickBot="1" x14ac:dyDescent="0.25">
      <c r="A133" s="118" t="s">
        <v>114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P133" s="23"/>
      <c r="Q133" s="23"/>
      <c r="R133" s="23"/>
      <c r="S133" s="23"/>
      <c r="T133" s="23"/>
      <c r="U133" s="23"/>
      <c r="W133" s="23"/>
      <c r="X133" s="23"/>
      <c r="Y133" s="23"/>
      <c r="Z133" s="23"/>
      <c r="AA133" s="23"/>
      <c r="AB133" s="23"/>
      <c r="AD133" s="23"/>
      <c r="AE133" s="23"/>
      <c r="AF133" s="23"/>
      <c r="AH133" s="23"/>
      <c r="AJ133" s="134"/>
      <c r="AK133" s="134"/>
      <c r="AL133" s="134"/>
    </row>
    <row r="134" spans="1:41" ht="13.5" thickBot="1" x14ac:dyDescent="0.25">
      <c r="A134" s="119" t="s">
        <v>13</v>
      </c>
      <c r="N134" s="124"/>
      <c r="U134" s="124"/>
      <c r="AB134" s="124"/>
      <c r="AD134" s="124"/>
      <c r="AE134" s="124"/>
      <c r="AF134" s="124"/>
      <c r="AH134" s="124"/>
      <c r="AI134" s="32"/>
      <c r="AJ134" s="105"/>
      <c r="AK134" s="129"/>
      <c r="AL134" s="136">
        <v>1.1366000000000001</v>
      </c>
      <c r="AM134" s="112">
        <f t="shared" ref="AM134" si="248">SUM(AJ134:AL134)</f>
        <v>1.1366000000000001</v>
      </c>
    </row>
    <row r="135" spans="1:41" ht="13.5" thickBot="1" x14ac:dyDescent="0.25">
      <c r="A135" s="26" t="s">
        <v>16</v>
      </c>
      <c r="AE135" s="124"/>
      <c r="AI135" s="32"/>
      <c r="AJ135" s="106"/>
      <c r="AK135" s="130">
        <v>55.759120601333301</v>
      </c>
      <c r="AL135" s="137">
        <f>24.28132446+62.69823707</f>
        <v>86.979561529999998</v>
      </c>
      <c r="AM135" s="113">
        <f t="shared" ref="AM135:AM142" si="249">SUM(AJ135:AL135)</f>
        <v>142.73868213133329</v>
      </c>
    </row>
    <row r="136" spans="1:41" ht="13.5" thickBot="1" x14ac:dyDescent="0.25">
      <c r="A136" s="26" t="s">
        <v>123</v>
      </c>
      <c r="AE136" s="124"/>
      <c r="AI136" s="32"/>
      <c r="AJ136" s="106"/>
      <c r="AK136" s="130"/>
      <c r="AL136" s="137">
        <v>355.22177411000001</v>
      </c>
      <c r="AM136" s="113">
        <f t="shared" si="249"/>
        <v>355.22177411000001</v>
      </c>
    </row>
    <row r="137" spans="1:41" ht="13.5" thickBot="1" x14ac:dyDescent="0.25">
      <c r="A137" s="26" t="s">
        <v>22</v>
      </c>
      <c r="AI137" s="32"/>
      <c r="AJ137" s="106"/>
      <c r="AK137" s="130">
        <v>22.514199999999999</v>
      </c>
      <c r="AL137" s="137"/>
      <c r="AM137" s="113">
        <f t="shared" si="249"/>
        <v>22.514199999999999</v>
      </c>
    </row>
    <row r="138" spans="1:41" ht="13.5" thickBot="1" x14ac:dyDescent="0.25">
      <c r="A138" s="16" t="s">
        <v>23</v>
      </c>
      <c r="AI138" s="32"/>
      <c r="AJ138" s="106"/>
      <c r="AK138" s="130">
        <v>212.699106818182</v>
      </c>
      <c r="AL138" s="137">
        <f>101.82+315.45</f>
        <v>417.27</v>
      </c>
      <c r="AM138" s="113">
        <f t="shared" si="249"/>
        <v>629.96910681818201</v>
      </c>
    </row>
    <row r="139" spans="1:41" ht="13.5" thickBot="1" x14ac:dyDescent="0.25">
      <c r="A139" s="16" t="s">
        <v>26</v>
      </c>
      <c r="AI139" s="32"/>
      <c r="AJ139" s="106"/>
      <c r="AK139" s="130"/>
      <c r="AL139" s="137">
        <v>3.8555999999999999</v>
      </c>
      <c r="AM139" s="113">
        <f t="shared" ref="AM139" si="250">SUM(AJ139:AL139)</f>
        <v>3.8555999999999999</v>
      </c>
    </row>
    <row r="140" spans="1:41" ht="13.5" thickBot="1" x14ac:dyDescent="0.25">
      <c r="A140" s="26" t="s">
        <v>38</v>
      </c>
      <c r="AI140" s="32"/>
      <c r="AJ140" s="106"/>
      <c r="AK140" s="130">
        <v>6.0381</v>
      </c>
      <c r="AL140" s="137"/>
      <c r="AM140" s="113">
        <f t="shared" si="249"/>
        <v>6.0381</v>
      </c>
    </row>
    <row r="141" spans="1:41" ht="13.5" thickBot="1" x14ac:dyDescent="0.25">
      <c r="A141" s="16" t="s">
        <v>55</v>
      </c>
      <c r="AI141" s="32"/>
      <c r="AJ141" s="106"/>
      <c r="AK141" s="130">
        <v>500</v>
      </c>
      <c r="AL141" s="137"/>
      <c r="AM141" s="113">
        <f t="shared" si="249"/>
        <v>500</v>
      </c>
    </row>
    <row r="142" spans="1:41" ht="13.5" thickBot="1" x14ac:dyDescent="0.25">
      <c r="A142" s="121" t="s">
        <v>65</v>
      </c>
      <c r="AI142" s="32"/>
      <c r="AJ142" s="106"/>
      <c r="AK142" s="130">
        <v>30</v>
      </c>
      <c r="AL142" s="137"/>
      <c r="AM142" s="113">
        <f t="shared" si="249"/>
        <v>30</v>
      </c>
    </row>
    <row r="143" spans="1:41" ht="13.5" thickBot="1" x14ac:dyDescent="0.25">
      <c r="AI143" s="11"/>
      <c r="AJ143" s="108">
        <f t="shared" ref="AJ143" si="251">SUM(AJ134:AJ142)</f>
        <v>0</v>
      </c>
      <c r="AK143" s="132">
        <f>SUM(AK134:AK142)</f>
        <v>827.01052741951526</v>
      </c>
      <c r="AL143" s="110">
        <f t="shared" ref="AL143:AM143" si="252">SUM(AL134:AL142)</f>
        <v>864.46353564000003</v>
      </c>
      <c r="AM143" s="110">
        <f t="shared" si="252"/>
        <v>1691.4740630595154</v>
      </c>
    </row>
    <row r="144" spans="1:41" ht="13.5" thickBot="1" x14ac:dyDescent="0.25">
      <c r="A144" s="118" t="s">
        <v>115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P144" s="23"/>
      <c r="Q144" s="23"/>
      <c r="R144" s="23"/>
      <c r="S144" s="23"/>
      <c r="T144" s="23"/>
      <c r="U144" s="23"/>
      <c r="W144" s="23"/>
      <c r="X144" s="23"/>
      <c r="Y144" s="23"/>
      <c r="Z144" s="23"/>
      <c r="AA144" s="23"/>
      <c r="AB144" s="23"/>
      <c r="AD144" s="23"/>
      <c r="AE144" s="23"/>
      <c r="AF144" s="23"/>
      <c r="AH144" s="23"/>
      <c r="AJ144" s="117"/>
      <c r="AK144" s="124"/>
      <c r="AL144" s="124"/>
    </row>
    <row r="145" spans="1:41" ht="13.5" thickBot="1" x14ac:dyDescent="0.25">
      <c r="A145" s="119" t="s">
        <v>13</v>
      </c>
      <c r="AI145" s="32"/>
      <c r="AJ145" s="105"/>
      <c r="AK145" s="129"/>
      <c r="AL145" s="136">
        <v>3.4098000000000002</v>
      </c>
      <c r="AM145" s="112">
        <f t="shared" ref="AM145:AM146" si="253">SUM(AJ145:AL145)</f>
        <v>3.4098000000000002</v>
      </c>
    </row>
    <row r="146" spans="1:41" ht="13.5" thickBot="1" x14ac:dyDescent="0.25">
      <c r="A146" s="16" t="s">
        <v>16</v>
      </c>
      <c r="AI146" s="32"/>
      <c r="AJ146" s="106"/>
      <c r="AK146" s="130"/>
      <c r="AL146" s="137">
        <f>8.01217851+1.82089318+18.458374+3.69767552</f>
        <v>31.98912121</v>
      </c>
      <c r="AM146" s="113">
        <f t="shared" si="253"/>
        <v>31.98912121</v>
      </c>
    </row>
    <row r="147" spans="1:41" ht="13.5" thickBot="1" x14ac:dyDescent="0.25">
      <c r="A147" s="16" t="s">
        <v>19</v>
      </c>
      <c r="AI147" s="32"/>
      <c r="AJ147" s="106"/>
      <c r="AK147" s="130">
        <v>2.2736163</v>
      </c>
      <c r="AL147" s="137"/>
      <c r="AM147" s="113">
        <f t="shared" ref="AM147:AM151" si="254">SUM(AJ147:AL147)</f>
        <v>2.2736163</v>
      </c>
    </row>
    <row r="148" spans="1:41" ht="13.5" thickBot="1" x14ac:dyDescent="0.25">
      <c r="A148" s="26" t="s">
        <v>123</v>
      </c>
      <c r="AE148" s="124"/>
      <c r="AI148" s="32"/>
      <c r="AJ148" s="106"/>
      <c r="AK148" s="130"/>
      <c r="AL148" s="137">
        <v>42.540725889999997</v>
      </c>
      <c r="AM148" s="113">
        <f t="shared" ref="AM148" si="255">SUM(AJ148:AL148)</f>
        <v>42.540725889999997</v>
      </c>
    </row>
    <row r="149" spans="1:41" ht="13.5" thickBot="1" x14ac:dyDescent="0.25">
      <c r="A149" s="16" t="s">
        <v>26</v>
      </c>
      <c r="AI149" s="32"/>
      <c r="AJ149" s="106"/>
      <c r="AK149" s="130">
        <v>1.694205</v>
      </c>
      <c r="AL149" s="137">
        <v>0.55079999999999996</v>
      </c>
      <c r="AM149" s="113">
        <f t="shared" si="254"/>
        <v>2.2450049999999999</v>
      </c>
    </row>
    <row r="150" spans="1:41" ht="13.5" thickBot="1" x14ac:dyDescent="0.25">
      <c r="A150" s="26" t="s">
        <v>38</v>
      </c>
      <c r="AI150" s="32"/>
      <c r="AJ150" s="106"/>
      <c r="AK150" s="130">
        <f>0.5004+0.31878</f>
        <v>0.81918000000000002</v>
      </c>
      <c r="AL150" s="137">
        <v>3.4336799999999998</v>
      </c>
      <c r="AM150" s="113">
        <f t="shared" si="254"/>
        <v>4.2528600000000001</v>
      </c>
      <c r="AO150" s="126"/>
    </row>
    <row r="151" spans="1:41" ht="13.5" thickBot="1" x14ac:dyDescent="0.25">
      <c r="A151" s="120" t="s">
        <v>54</v>
      </c>
      <c r="AI151" s="32"/>
      <c r="AJ151" s="106"/>
      <c r="AK151" s="130">
        <v>2.1377728</v>
      </c>
      <c r="AL151" s="137"/>
      <c r="AM151" s="113">
        <f t="shared" si="254"/>
        <v>2.1377728</v>
      </c>
    </row>
    <row r="152" spans="1:41" ht="13.5" thickBot="1" x14ac:dyDescent="0.25">
      <c r="AI152" s="11"/>
      <c r="AJ152" s="108">
        <f>SUM(AJ145:AJ151)</f>
        <v>0</v>
      </c>
      <c r="AK152" s="132">
        <f t="shared" ref="AK152:AM152" si="256">SUM(AK145:AK151)</f>
        <v>6.9247741000000005</v>
      </c>
      <c r="AL152" s="110">
        <f t="shared" si="256"/>
        <v>81.924127099999993</v>
      </c>
      <c r="AM152" s="110">
        <f t="shared" si="256"/>
        <v>88.848901199999986</v>
      </c>
    </row>
    <row r="153" spans="1:41" ht="13.5" thickBot="1" x14ac:dyDescent="0.25">
      <c r="A153" s="118" t="s">
        <v>116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P153" s="23"/>
      <c r="Q153" s="23"/>
      <c r="R153" s="23"/>
      <c r="S153" s="23"/>
      <c r="T153" s="23"/>
      <c r="U153" s="23"/>
      <c r="W153" s="23"/>
      <c r="X153" s="23"/>
      <c r="Y153" s="23"/>
      <c r="Z153" s="23"/>
      <c r="AA153" s="23"/>
      <c r="AB153" s="23"/>
      <c r="AD153" s="23"/>
      <c r="AE153" s="23"/>
      <c r="AF153" s="23"/>
      <c r="AH153" s="23"/>
      <c r="AJ153" s="117"/>
      <c r="AK153" s="124"/>
      <c r="AL153" s="124"/>
    </row>
    <row r="154" spans="1:41" ht="13.5" thickBot="1" x14ac:dyDescent="0.25">
      <c r="A154" s="119" t="s">
        <v>22</v>
      </c>
      <c r="AI154" s="32"/>
      <c r="AJ154" s="105"/>
      <c r="AK154" s="129">
        <v>5.6285499999999997</v>
      </c>
      <c r="AL154" s="136"/>
      <c r="AM154" s="112">
        <f t="shared" ref="AM154:AM155" si="257">SUM(AJ154:AL154)</f>
        <v>5.6285499999999997</v>
      </c>
    </row>
    <row r="155" spans="1:41" ht="13.5" thickBot="1" x14ac:dyDescent="0.25">
      <c r="A155" s="120" t="s">
        <v>23</v>
      </c>
      <c r="AI155" s="32"/>
      <c r="AJ155" s="106"/>
      <c r="AK155" s="130">
        <v>57.77</v>
      </c>
      <c r="AL155" s="137">
        <v>-47.232030369999997</v>
      </c>
      <c r="AM155" s="113">
        <f t="shared" si="257"/>
        <v>10.537969630000006</v>
      </c>
    </row>
    <row r="156" spans="1:41" ht="13.5" thickBot="1" x14ac:dyDescent="0.25">
      <c r="AI156" s="11"/>
      <c r="AJ156" s="108">
        <f>SUM(AJ154:AJ155)</f>
        <v>0</v>
      </c>
      <c r="AK156" s="132">
        <f>SUM(AK154:AK155)</f>
        <v>63.39855</v>
      </c>
      <c r="AL156" s="110">
        <f>SUM(AL154:AL155)</f>
        <v>-47.232030369999997</v>
      </c>
      <c r="AM156" s="110">
        <f>SUM(AM154:AM155)</f>
        <v>16.166519630000007</v>
      </c>
    </row>
    <row r="159" spans="1:41" ht="17.25" customHeight="1" x14ac:dyDescent="0.2">
      <c r="A159" s="125" t="s">
        <v>117</v>
      </c>
      <c r="AD159" s="122"/>
      <c r="AE159" s="122"/>
      <c r="AF159" s="122"/>
      <c r="AG159" s="123"/>
      <c r="AH159" s="123"/>
      <c r="AM159" s="122"/>
      <c r="AO159" s="123"/>
    </row>
    <row r="160" spans="1:41" ht="20.25" customHeight="1" x14ac:dyDescent="0.2">
      <c r="A160" s="141" t="s">
        <v>142</v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</row>
    <row r="161" spans="1:41" ht="20.25" customHeight="1" x14ac:dyDescent="0.2">
      <c r="A161" s="141" t="s">
        <v>143</v>
      </c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</row>
    <row r="162" spans="1:41" ht="44.25" customHeight="1" x14ac:dyDescent="0.2">
      <c r="A162" s="141" t="s">
        <v>150</v>
      </c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</row>
    <row r="163" spans="1:41" ht="31.5" customHeight="1" x14ac:dyDescent="0.2">
      <c r="A163" s="141" t="s">
        <v>144</v>
      </c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</row>
    <row r="164" spans="1:41" ht="22.5" customHeight="1" x14ac:dyDescent="0.2">
      <c r="A164" s="24" t="s">
        <v>145</v>
      </c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P164" s="23"/>
      <c r="Q164" s="23"/>
      <c r="R164" s="23"/>
      <c r="S164" s="23"/>
      <c r="T164" s="23"/>
      <c r="U164" s="23"/>
      <c r="W164" s="23"/>
      <c r="X164" s="23"/>
      <c r="Y164" s="23"/>
      <c r="Z164" s="23"/>
      <c r="AA164" s="23"/>
      <c r="AB164" s="23"/>
      <c r="AD164" s="23"/>
      <c r="AE164" s="23"/>
      <c r="AF164" s="23"/>
      <c r="AH164" s="23"/>
      <c r="AI164" s="23"/>
      <c r="AJ164" s="11"/>
      <c r="AM164" s="11"/>
    </row>
    <row r="165" spans="1:41" ht="22.5" customHeight="1" x14ac:dyDescent="0.2">
      <c r="A165" s="141" t="s">
        <v>146</v>
      </c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</row>
    <row r="166" spans="1:41" ht="18.75" customHeight="1" x14ac:dyDescent="0.2">
      <c r="A166" s="24" t="s">
        <v>147</v>
      </c>
      <c r="L166" s="4"/>
      <c r="M166" s="4"/>
      <c r="N166" s="4"/>
      <c r="P166" s="4"/>
      <c r="Q166" s="4"/>
      <c r="R166" s="4"/>
      <c r="S166" s="4"/>
      <c r="T166" s="4"/>
      <c r="U166" s="4"/>
      <c r="W166" s="4"/>
      <c r="X166" s="4"/>
      <c r="Y166" s="4"/>
      <c r="Z166" s="4"/>
      <c r="AA166" s="4"/>
      <c r="AB166" s="4"/>
      <c r="AD166" s="4"/>
      <c r="AE166" s="4"/>
      <c r="AF166" s="4"/>
    </row>
    <row r="167" spans="1:41" ht="45.75" customHeight="1" x14ac:dyDescent="0.2">
      <c r="A167" s="141" t="s">
        <v>148</v>
      </c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</row>
    <row r="168" spans="1:41" ht="22.5" customHeight="1" x14ac:dyDescent="0.2">
      <c r="A168" s="24" t="s">
        <v>149</v>
      </c>
    </row>
    <row r="171" spans="1:41" ht="42" customHeight="1" x14ac:dyDescent="0.35">
      <c r="A171" s="30" t="s">
        <v>118</v>
      </c>
    </row>
    <row r="172" spans="1:41" ht="15.75" x14ac:dyDescent="0.25">
      <c r="A172" s="2" t="s">
        <v>120</v>
      </c>
      <c r="P172" s="1"/>
      <c r="Q172" s="1"/>
      <c r="R172" s="1"/>
      <c r="S172" s="1"/>
      <c r="T172" s="1"/>
      <c r="W172" s="1"/>
      <c r="X172" s="1"/>
      <c r="Y172" s="1"/>
      <c r="Z172" s="1"/>
      <c r="AA172" s="1"/>
      <c r="AD172" s="1"/>
      <c r="AE172" s="1"/>
      <c r="AF172" s="1"/>
    </row>
    <row r="173" spans="1:41" ht="15.75" x14ac:dyDescent="0.25">
      <c r="A173" s="3" t="s">
        <v>1</v>
      </c>
      <c r="C173" s="4"/>
      <c r="D173" s="4"/>
      <c r="E173" s="4"/>
      <c r="F173" s="4"/>
      <c r="G173" s="4"/>
      <c r="H173" s="4"/>
      <c r="I173" s="4"/>
      <c r="J173" s="4"/>
    </row>
    <row r="174" spans="1:41" ht="13.5" thickBot="1" x14ac:dyDescent="0.25"/>
    <row r="175" spans="1:41" ht="30.75" thickBot="1" x14ac:dyDescent="0.3">
      <c r="A175" s="5"/>
      <c r="C175" s="6">
        <v>2000</v>
      </c>
      <c r="D175" s="6">
        <v>2001</v>
      </c>
      <c r="E175" s="6">
        <v>2002</v>
      </c>
      <c r="F175" s="6">
        <v>2003</v>
      </c>
      <c r="G175" s="6">
        <v>2004</v>
      </c>
      <c r="H175" s="7">
        <v>2005</v>
      </c>
      <c r="I175" s="6">
        <v>2006</v>
      </c>
      <c r="J175" s="7">
        <v>2007</v>
      </c>
      <c r="K175" s="6">
        <v>2008</v>
      </c>
      <c r="L175" s="7">
        <v>2009</v>
      </c>
      <c r="M175" s="7">
        <v>2010</v>
      </c>
      <c r="N175" s="40" t="s">
        <v>5</v>
      </c>
      <c r="P175" s="7">
        <v>2011</v>
      </c>
      <c r="Q175" s="7">
        <v>2012</v>
      </c>
      <c r="R175" s="7">
        <v>2013</v>
      </c>
      <c r="S175" s="7">
        <v>2014</v>
      </c>
      <c r="T175" s="7">
        <v>2015</v>
      </c>
      <c r="U175" s="40" t="s">
        <v>6</v>
      </c>
      <c r="W175" s="7">
        <v>2016</v>
      </c>
      <c r="X175" s="7">
        <v>2017</v>
      </c>
      <c r="Y175" s="7">
        <v>2018</v>
      </c>
      <c r="Z175" s="7">
        <v>2019</v>
      </c>
      <c r="AA175" s="7">
        <v>2020</v>
      </c>
      <c r="AB175" s="40" t="s">
        <v>7</v>
      </c>
      <c r="AH175" s="41" t="s">
        <v>9</v>
      </c>
    </row>
    <row r="176" spans="1:41" ht="13.5" thickBot="1" x14ac:dyDescent="0.25">
      <c r="A176" s="9" t="s">
        <v>40</v>
      </c>
      <c r="C176" s="42"/>
      <c r="D176" s="49"/>
      <c r="E176" s="49"/>
      <c r="F176" s="49"/>
      <c r="G176" s="49"/>
      <c r="H176" s="50"/>
      <c r="I176" s="42"/>
      <c r="J176" s="54"/>
      <c r="K176" s="47"/>
      <c r="L176" s="42"/>
      <c r="M176" s="42"/>
      <c r="N176" s="86"/>
      <c r="P176" s="42"/>
      <c r="Q176" s="48"/>
      <c r="R176" s="48"/>
      <c r="S176" s="48">
        <v>30.742000000000001</v>
      </c>
      <c r="T176" s="48">
        <v>24.263000000000002</v>
      </c>
      <c r="U176" s="86">
        <f t="shared" ref="U176:U177" si="258">SUM(P176:T176)</f>
        <v>55.005000000000003</v>
      </c>
      <c r="W176" s="48">
        <v>22.976890000000001</v>
      </c>
      <c r="X176" s="48">
        <v>22.191076850000002</v>
      </c>
      <c r="Y176" s="48">
        <v>24.479173379999999</v>
      </c>
      <c r="Z176" s="48">
        <v>22.397200000000002</v>
      </c>
      <c r="AA176" s="48"/>
      <c r="AB176" s="86">
        <f t="shared" ref="AB176:AB177" si="259">SUM(W176:AA176)</f>
        <v>92.044340229999989</v>
      </c>
      <c r="AH176" s="96">
        <f t="shared" ref="AH176:AH177" si="260">SUM(AB176,U176,N176)</f>
        <v>147.04934022999998</v>
      </c>
    </row>
    <row r="177" spans="1:35" ht="13.5" thickBot="1" x14ac:dyDescent="0.25">
      <c r="A177" s="27" t="s">
        <v>54</v>
      </c>
      <c r="C177" s="42"/>
      <c r="D177" s="49"/>
      <c r="E177" s="49"/>
      <c r="F177" s="49"/>
      <c r="G177" s="49"/>
      <c r="H177" s="50"/>
      <c r="I177" s="42"/>
      <c r="J177" s="54"/>
      <c r="K177" s="47"/>
      <c r="L177" s="42"/>
      <c r="M177" s="42"/>
      <c r="N177" s="88"/>
      <c r="P177" s="42"/>
      <c r="Q177" s="48"/>
      <c r="R177" s="48"/>
      <c r="S177" s="48"/>
      <c r="T177" s="48">
        <v>4.7321999999999997</v>
      </c>
      <c r="U177" s="88">
        <f t="shared" si="258"/>
        <v>4.7321999999999997</v>
      </c>
      <c r="W177" s="48">
        <v>18.600539999999999</v>
      </c>
      <c r="X177" s="48">
        <v>11.45331</v>
      </c>
      <c r="Y177" s="48">
        <v>5.2708399999999997</v>
      </c>
      <c r="Z177" s="48"/>
      <c r="AA177" s="48"/>
      <c r="AB177" s="88">
        <f t="shared" si="259"/>
        <v>35.324689999999997</v>
      </c>
      <c r="AH177" s="96">
        <f t="shared" si="260"/>
        <v>40.056889999999996</v>
      </c>
    </row>
    <row r="178" spans="1:35" ht="13.5" thickBot="1" x14ac:dyDescent="0.25">
      <c r="A178" s="13" t="s">
        <v>57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101"/>
      <c r="P178" s="62"/>
      <c r="Q178" s="62"/>
      <c r="R178" s="62"/>
      <c r="S178" s="62">
        <f t="shared" ref="S178:AH178" si="261">SUM(S176:S177)</f>
        <v>30.742000000000001</v>
      </c>
      <c r="T178" s="62">
        <f t="shared" si="261"/>
        <v>28.995200000000001</v>
      </c>
      <c r="U178" s="89">
        <f t="shared" si="261"/>
        <v>59.737200000000001</v>
      </c>
      <c r="W178" s="62">
        <f t="shared" si="261"/>
        <v>41.57743</v>
      </c>
      <c r="X178" s="62">
        <f t="shared" si="261"/>
        <v>33.644386850000004</v>
      </c>
      <c r="Y178" s="62">
        <f t="shared" si="261"/>
        <v>29.750013379999999</v>
      </c>
      <c r="Z178" s="62">
        <f t="shared" si="261"/>
        <v>22.397200000000002</v>
      </c>
      <c r="AA178" s="62">
        <f t="shared" si="261"/>
        <v>0</v>
      </c>
      <c r="AB178" s="89">
        <f t="shared" si="261"/>
        <v>127.36903022999999</v>
      </c>
      <c r="AH178" s="101">
        <f t="shared" si="261"/>
        <v>187.10623022999999</v>
      </c>
    </row>
    <row r="179" spans="1:35" ht="13.5" thickBot="1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P179" s="4"/>
      <c r="Q179" s="4"/>
      <c r="R179" s="4"/>
      <c r="S179" s="4"/>
      <c r="T179" s="4"/>
      <c r="W179" s="4"/>
      <c r="X179" s="4"/>
      <c r="Y179" s="4"/>
      <c r="Z179" s="4"/>
      <c r="AA179" s="4"/>
    </row>
    <row r="180" spans="1:35" ht="13.5" thickBot="1" x14ac:dyDescent="0.25">
      <c r="A180" s="29" t="s">
        <v>65</v>
      </c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86"/>
      <c r="P180" s="80"/>
      <c r="Q180" s="80"/>
      <c r="R180" s="80"/>
      <c r="S180" s="80"/>
      <c r="T180" s="81">
        <v>105</v>
      </c>
      <c r="U180" s="86">
        <f t="shared" ref="U180" si="262">SUM(P180:T180)</f>
        <v>105</v>
      </c>
      <c r="W180" s="81">
        <v>51.6</v>
      </c>
      <c r="X180" s="81">
        <v>40</v>
      </c>
      <c r="Y180" s="81">
        <v>44.6</v>
      </c>
      <c r="Z180" s="81"/>
      <c r="AA180" s="81"/>
      <c r="AB180" s="86">
        <f t="shared" ref="AB180" si="263">SUM(W180:AA180)</f>
        <v>136.19999999999999</v>
      </c>
      <c r="AH180" s="97">
        <f t="shared" ref="AH180" si="264">SUM(AB180,U180,N180)</f>
        <v>241.2</v>
      </c>
      <c r="AI180" s="32"/>
    </row>
    <row r="181" spans="1:35" ht="13.5" thickBot="1" x14ac:dyDescent="0.25">
      <c r="A181" s="13" t="s">
        <v>119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101"/>
      <c r="P181" s="74"/>
      <c r="Q181" s="74"/>
      <c r="R181" s="74"/>
      <c r="S181" s="74"/>
      <c r="T181" s="74">
        <f t="shared" ref="T181:AH181" si="265">SUM(T180)</f>
        <v>105</v>
      </c>
      <c r="U181" s="89">
        <f t="shared" si="265"/>
        <v>105</v>
      </c>
      <c r="W181" s="74">
        <f t="shared" si="265"/>
        <v>51.6</v>
      </c>
      <c r="X181" s="74">
        <f t="shared" si="265"/>
        <v>40</v>
      </c>
      <c r="Y181" s="74">
        <f t="shared" si="265"/>
        <v>44.6</v>
      </c>
      <c r="Z181" s="74">
        <f t="shared" si="265"/>
        <v>0</v>
      </c>
      <c r="AA181" s="74">
        <f t="shared" si="265"/>
        <v>0</v>
      </c>
      <c r="AB181" s="89">
        <f t="shared" si="265"/>
        <v>136.19999999999999</v>
      </c>
      <c r="AH181" s="101">
        <f t="shared" si="265"/>
        <v>241.2</v>
      </c>
      <c r="AI181" s="11"/>
    </row>
    <row r="182" spans="1:35" ht="13.5" thickBot="1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P182" s="4"/>
      <c r="Q182" s="4"/>
      <c r="R182" s="4"/>
      <c r="S182" s="4"/>
      <c r="T182" s="4"/>
      <c r="W182" s="4"/>
      <c r="X182" s="4"/>
      <c r="Y182" s="4"/>
      <c r="Z182" s="4"/>
      <c r="AA182" s="4"/>
    </row>
    <row r="183" spans="1:35" ht="13.5" thickBot="1" x14ac:dyDescent="0.25">
      <c r="A183" s="22" t="s">
        <v>113</v>
      </c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100"/>
      <c r="P183" s="78"/>
      <c r="Q183" s="78"/>
      <c r="R183" s="78"/>
      <c r="S183" s="78">
        <f t="shared" ref="S183:AH183" si="266">SUM(S178,S181)</f>
        <v>30.742000000000001</v>
      </c>
      <c r="T183" s="78">
        <f t="shared" si="266"/>
        <v>133.99520000000001</v>
      </c>
      <c r="U183" s="100">
        <f t="shared" si="266"/>
        <v>164.7372</v>
      </c>
      <c r="W183" s="78">
        <f t="shared" si="266"/>
        <v>93.177430000000001</v>
      </c>
      <c r="X183" s="78">
        <f t="shared" si="266"/>
        <v>73.644386850000004</v>
      </c>
      <c r="Y183" s="78">
        <f t="shared" si="266"/>
        <v>74.350013380000007</v>
      </c>
      <c r="Z183" s="78">
        <f t="shared" si="266"/>
        <v>22.397200000000002</v>
      </c>
      <c r="AA183" s="78">
        <f t="shared" si="266"/>
        <v>0</v>
      </c>
      <c r="AB183" s="100">
        <f t="shared" si="266"/>
        <v>263.56903022999995</v>
      </c>
      <c r="AH183" s="100">
        <f t="shared" si="266"/>
        <v>428.30623022999998</v>
      </c>
    </row>
  </sheetData>
  <mergeCells count="8">
    <mergeCell ref="AO5:AO6"/>
    <mergeCell ref="A165:AO165"/>
    <mergeCell ref="A167:AO167"/>
    <mergeCell ref="AJ5:AM5"/>
    <mergeCell ref="A162:AO162"/>
    <mergeCell ref="A163:AO163"/>
    <mergeCell ref="A161:AO161"/>
    <mergeCell ref="A160:AO160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1 U24 AB24 AB31 AB14 U14 AG122:AG123 AK124 AG107:AG118 N121:AB121 AG75 AG87:AG93 N75:AD75 N107:AD118 N122:AD123 N87:AD93 AN122:AO123 AN107:AO118 AI75:AK75 AI87:AK90 AI107:AK118 AI122:AK122 AI123:AJ123 AG96:AG105 N96:AD105 AN96:AO105 AI96:AK105 AI80:AK83 N80:AD83 AG80:AG83 AI92:AK92 AI91:AJ91 N84:AB84 AI85:AK85 N85:AD85 AG85 N45:AB54 U55 U58 N56:AB57 N59:AB60 AB55:AO55 AB61:AO61 AC59:AK59 AB58:AD58 AC57:AO57 AB62:AD62 AF62:AK62 AM62:AO62 AF84 U17:AF17 AC56:AD56 AF56:AO56 AF58:AO58 AC60:AD60 AF60:AO60 AG78 N78:AD78 AI78:AK78 N34:AB43 AM59:AO59 N44:AM44 AF11 AM11 N13 AM120 AM139 AM148 AI93:AJ93" formula="1"/>
    <ignoredError sqref="G62:W62" formulaRange="1"/>
    <ignoredError sqref="AL62 AE62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CD6342080A01E84CA9870E8F3E644D78" ma:contentTypeVersion="239" ma:contentTypeDescription="" ma:contentTypeScope="" ma:versionID="08d168cbdf92577c5a917e7c01e0544b">
  <xsd:schema xmlns:xsd="http://www.w3.org/2001/XMLSchema" xmlns:xs="http://www.w3.org/2001/XMLSchema" xmlns:p="http://schemas.microsoft.com/office/2006/metadata/properties" xmlns:ns2="d0706217-df7c-4bf4-936d-b09aa3b837af" xmlns:ns3="57a992bc-bd44-4bca-8c15-5d6bcceffd31" targetNamespace="http://schemas.microsoft.com/office/2006/metadata/properties" ma:root="true" ma:fieldsID="6ffad984cde5fa98058814460da1d393" ns2:_="" ns3:_="">
    <xsd:import namespace="d0706217-df7c-4bf4-936d-b09aa3b837af"/>
    <xsd:import namespace="57a992bc-bd44-4bca-8c15-5d6bcceffd3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b12ebb60-5d4a-407c-9ab8-0b5826b57b5f}" ma:internalName="TaxCatchAll" ma:showField="CatchAllData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b12ebb60-5d4a-407c-9ab8-0b5826b57b5f}" ma:internalName="TaxCatchAllLabel" ma:readOnly="true" ma:showField="CatchAllDataLabel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2bc-bd44-4bca-8c15-5d6bcceffd3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7a992bc-bd44-4bca-8c15-5d6bcceffd31">GAVI-1705067222-1077669</_dlc_DocId>
    <_dlc_DocIdUrl xmlns="57a992bc-bd44-4bca-8c15-5d6bcceffd31">
      <Url>https://gavinet.sharepoint.com/teams/fop/fin/_layouts/15/DocIdRedir.aspx?ID=GAVI-1705067222-1077669</Url>
      <Description>GAVI-1705067222-1077669</Description>
    </_dlc_DocIdUrl>
  </documentManagement>
</p:properties>
</file>

<file path=customXml/itemProps1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7AC50A7-7A97-4663-9EB0-B58674F74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7a992bc-bd44-4bca-8c15-5d6bcceff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7FB11A6-D140-4432-835C-73F5F457BFA5}">
  <ds:schemaRefs>
    <ds:schemaRef ds:uri="http://schemas.microsoft.com/office/2006/metadata/properties"/>
    <ds:schemaRef ds:uri="http://schemas.microsoft.com/office/infopath/2007/PartnerControls"/>
    <ds:schemaRef ds:uri="d0706217-df7c-4bf4-936d-b09aa3b837af"/>
    <ds:schemaRef ds:uri="57a992bc-bd44-4bca-8c15-5d6bcceffd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2000-2022 Cash Receipts</vt:lpstr>
      <vt:lpstr>'2000-2022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2023-05-11T16:13:51Z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0x01010091DD660C2743444EACB0CAF77741226300CD6342080A01E84CA9870E8F3E644D78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37c01d58-3929-4679-baae-6d3edc6cd44f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