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588" yWindow="48" windowWidth="16608" windowHeight="9432" tabRatio="967" firstSheet="2" activeTab="20"/>
  </bookViews>
  <sheets>
    <sheet name="Annual Disbursement Figures" sheetId="38" r:id="rId1"/>
    <sheet name="Consolidated Budget" sheetId="37" r:id="rId2"/>
    <sheet name="UNDP " sheetId="20" r:id="rId3"/>
    <sheet name="1.1" sheetId="21" r:id="rId4"/>
    <sheet name="2.1" sheetId="22" r:id="rId5"/>
    <sheet name="2.2" sheetId="23" r:id="rId6"/>
    <sheet name="3.5" sheetId="24" r:id="rId7"/>
    <sheet name="4.2" sheetId="25" r:id="rId8"/>
    <sheet name="4.3" sheetId="26" r:id="rId9"/>
    <sheet name="Secretarial Support" sheetId="27" r:id="rId10"/>
    <sheet name="UNICEF" sheetId="46" r:id="rId11"/>
    <sheet name="1.2" sheetId="47" r:id="rId12"/>
    <sheet name="1.3" sheetId="48" r:id="rId13"/>
    <sheet name="1.4" sheetId="49" r:id="rId14"/>
    <sheet name="1.5" sheetId="50" r:id="rId15"/>
    <sheet name="3.1" sheetId="51" r:id="rId16"/>
    <sheet name="3.2" sheetId="52" r:id="rId17"/>
    <sheet name="3.3" sheetId="53" r:id="rId18"/>
    <sheet name="3.4" sheetId="54" r:id="rId19"/>
    <sheet name="TA" sheetId="55" r:id="rId20"/>
    <sheet name="WHO" sheetId="39" r:id="rId21"/>
    <sheet name="4.1" sheetId="40" r:id="rId22"/>
    <sheet name="5" sheetId="41" r:id="rId23"/>
    <sheet name="5.2" sheetId="42" r:id="rId24"/>
    <sheet name="5.3" sheetId="43" r:id="rId25"/>
    <sheet name="5.4" sheetId="44" r:id="rId26"/>
    <sheet name="5.5" sheetId="45" r:id="rId27"/>
  </sheets>
  <definedNames>
    <definedName name="_xlnm.Print_Area" localSheetId="12">'1.3'!$A$1:$S$44</definedName>
    <definedName name="_xlnm.Print_Area" localSheetId="13">'1.4'!$A$1:$S$82</definedName>
    <definedName name="_xlnm.Print_Area" localSheetId="2">'UNDP '!$B$3:$K$43</definedName>
    <definedName name="_xlnm.Print_Area" localSheetId="10">UNICEF!$B$3:$K$40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39" l="1"/>
  <c r="E22" i="39"/>
  <c r="F22" i="39"/>
  <c r="G22" i="39"/>
  <c r="Z14" i="42" l="1"/>
  <c r="Z13" i="42"/>
  <c r="Y14" i="42"/>
  <c r="T14" i="42"/>
  <c r="O14" i="42"/>
  <c r="K22" i="39"/>
  <c r="K23" i="39" s="1"/>
  <c r="J22" i="39"/>
  <c r="I22" i="39"/>
  <c r="H22" i="39"/>
  <c r="F5" i="42"/>
  <c r="E5" i="42"/>
  <c r="D5" i="42"/>
  <c r="H21" i="42"/>
  <c r="I21" i="42" s="1"/>
  <c r="K21" i="42" s="1"/>
  <c r="L21" i="42" s="1"/>
  <c r="Q21" i="42" s="1"/>
  <c r="V21" i="42" s="1"/>
  <c r="V22" i="42" s="1"/>
  <c r="P21" i="42" l="1"/>
  <c r="U21" i="42" s="1"/>
  <c r="U22" i="42" s="1"/>
  <c r="K22" i="42"/>
  <c r="L22" i="42"/>
  <c r="Q22" i="42"/>
  <c r="M21" i="42"/>
  <c r="M22" i="42" s="1"/>
  <c r="P22" i="42" l="1"/>
  <c r="R21" i="42"/>
  <c r="N21" i="42"/>
  <c r="O21" i="42" s="1"/>
  <c r="D6" i="42" l="1"/>
  <c r="O22" i="42"/>
  <c r="S21" i="42"/>
  <c r="N22" i="42"/>
  <c r="W21" i="42"/>
  <c r="R22" i="42"/>
  <c r="T21" i="42"/>
  <c r="W22" i="42" l="1"/>
  <c r="D7" i="42"/>
  <c r="T22" i="42"/>
  <c r="E6" i="42"/>
  <c r="E7" i="42" s="1"/>
  <c r="X21" i="42"/>
  <c r="X22" i="42" s="1"/>
  <c r="S22" i="42"/>
  <c r="Y21" i="42" l="1"/>
  <c r="Z21" i="42" s="1"/>
  <c r="Z22" i="42" s="1"/>
  <c r="F6" i="42" l="1"/>
  <c r="Y22" i="42"/>
  <c r="F7" i="42" l="1"/>
  <c r="G6" i="42"/>
  <c r="G7" i="42" s="1"/>
  <c r="F49" i="37" l="1"/>
  <c r="G49" i="37"/>
  <c r="H49" i="37"/>
  <c r="I49" i="37"/>
  <c r="J49" i="37"/>
  <c r="K49" i="37"/>
  <c r="L49" i="37"/>
  <c r="E49" i="37"/>
  <c r="C46" i="37"/>
  <c r="F25" i="37"/>
  <c r="G25" i="37"/>
  <c r="H25" i="37"/>
  <c r="I25" i="37"/>
  <c r="J25" i="37"/>
  <c r="K25" i="37"/>
  <c r="L25" i="37"/>
  <c r="E25" i="37"/>
  <c r="F24" i="37"/>
  <c r="G24" i="37"/>
  <c r="H24" i="37"/>
  <c r="I24" i="37"/>
  <c r="J24" i="37"/>
  <c r="K24" i="37"/>
  <c r="L24" i="37"/>
  <c r="E24" i="37"/>
  <c r="F22" i="37"/>
  <c r="G22" i="37"/>
  <c r="H22" i="37"/>
  <c r="I22" i="37"/>
  <c r="J22" i="37"/>
  <c r="K22" i="37"/>
  <c r="L22" i="37"/>
  <c r="E22" i="37"/>
  <c r="C25" i="37"/>
  <c r="C24" i="37"/>
  <c r="C23" i="37"/>
  <c r="C22" i="37"/>
  <c r="F15" i="37"/>
  <c r="G15" i="37"/>
  <c r="H15" i="37"/>
  <c r="I15" i="37"/>
  <c r="J15" i="37"/>
  <c r="K15" i="37"/>
  <c r="L15" i="37"/>
  <c r="E15" i="37"/>
  <c r="F14" i="37"/>
  <c r="G14" i="37"/>
  <c r="H14" i="37"/>
  <c r="I14" i="37"/>
  <c r="J14" i="37"/>
  <c r="K14" i="37"/>
  <c r="L14" i="37"/>
  <c r="E14" i="37"/>
  <c r="H12" i="37"/>
  <c r="I12" i="37"/>
  <c r="J12" i="37"/>
  <c r="K12" i="37"/>
  <c r="L12" i="37"/>
  <c r="G12" i="37"/>
  <c r="F12" i="37"/>
  <c r="E12" i="37"/>
  <c r="C15" i="37"/>
  <c r="C14" i="37"/>
  <c r="C13" i="37"/>
  <c r="C12" i="37"/>
  <c r="J15" i="55"/>
  <c r="I88" i="54"/>
  <c r="J88" i="54" s="1"/>
  <c r="I87" i="54"/>
  <c r="J87" i="54" s="1"/>
  <c r="J86" i="54"/>
  <c r="I86" i="54"/>
  <c r="I85" i="54"/>
  <c r="J85" i="54" s="1"/>
  <c r="I84" i="54"/>
  <c r="J84" i="54" s="1"/>
  <c r="I83" i="54"/>
  <c r="J83" i="54" s="1"/>
  <c r="J82" i="54"/>
  <c r="I82" i="54"/>
  <c r="I81" i="54"/>
  <c r="J81" i="54" s="1"/>
  <c r="I80" i="54"/>
  <c r="J80" i="54" s="1"/>
  <c r="I76" i="54"/>
  <c r="J76" i="54" s="1"/>
  <c r="I75" i="54"/>
  <c r="J75" i="54" s="1"/>
  <c r="J74" i="54"/>
  <c r="I74" i="54"/>
  <c r="J73" i="54"/>
  <c r="I72" i="54"/>
  <c r="J62" i="54"/>
  <c r="I62" i="54"/>
  <c r="I61" i="54"/>
  <c r="J61" i="54" s="1"/>
  <c r="J60" i="54"/>
  <c r="I60" i="54"/>
  <c r="I59" i="54"/>
  <c r="J59" i="54" s="1"/>
  <c r="J58" i="54"/>
  <c r="I58" i="54"/>
  <c r="I57" i="54"/>
  <c r="J57" i="54" s="1"/>
  <c r="J56" i="54"/>
  <c r="I56" i="54"/>
  <c r="I55" i="54"/>
  <c r="J55" i="54" s="1"/>
  <c r="I51" i="54"/>
  <c r="J51" i="54" s="1"/>
  <c r="J50" i="54"/>
  <c r="I50" i="54"/>
  <c r="I49" i="54"/>
  <c r="J49" i="54" s="1"/>
  <c r="J48" i="54"/>
  <c r="I47" i="54"/>
  <c r="I52" i="54" s="1"/>
  <c r="L39" i="54"/>
  <c r="O38" i="54"/>
  <c r="P38" i="54" s="1"/>
  <c r="J38" i="54"/>
  <c r="Q38" i="54" s="1"/>
  <c r="I38" i="54"/>
  <c r="P35" i="54"/>
  <c r="S35" i="54" s="1"/>
  <c r="S32" i="54"/>
  <c r="I32" i="54"/>
  <c r="J32" i="54" s="1"/>
  <c r="J30" i="54"/>
  <c r="O30" i="54" s="1"/>
  <c r="P30" i="54" s="1"/>
  <c r="S30" i="54" s="1"/>
  <c r="I30" i="54"/>
  <c r="I29" i="54"/>
  <c r="J29" i="54" s="1"/>
  <c r="Q26" i="54"/>
  <c r="P26" i="54"/>
  <c r="I26" i="54"/>
  <c r="J26" i="54" s="1"/>
  <c r="B24" i="54"/>
  <c r="P23" i="54"/>
  <c r="C21" i="54"/>
  <c r="B21" i="54"/>
  <c r="C20" i="54"/>
  <c r="C19" i="54"/>
  <c r="C18" i="54"/>
  <c r="B18" i="54"/>
  <c r="C17" i="54"/>
  <c r="C16" i="54"/>
  <c r="C15" i="54"/>
  <c r="B15" i="54"/>
  <c r="C14" i="54"/>
  <c r="C13" i="54"/>
  <c r="C12" i="54"/>
  <c r="B12" i="54"/>
  <c r="C11" i="54"/>
  <c r="C10" i="54"/>
  <c r="C9" i="54"/>
  <c r="B9" i="54"/>
  <c r="C8" i="54"/>
  <c r="F141" i="53"/>
  <c r="H141" i="53" s="1"/>
  <c r="I140" i="53"/>
  <c r="H140" i="53"/>
  <c r="K140" i="53" s="1"/>
  <c r="F140" i="53"/>
  <c r="J140" i="53" s="1"/>
  <c r="E140" i="53"/>
  <c r="E139" i="53"/>
  <c r="F139" i="53" s="1"/>
  <c r="I134" i="53"/>
  <c r="J133" i="53"/>
  <c r="I133" i="53"/>
  <c r="I132" i="53"/>
  <c r="J132" i="53" s="1"/>
  <c r="J131" i="53"/>
  <c r="I131" i="53"/>
  <c r="J127" i="53"/>
  <c r="I127" i="53"/>
  <c r="I126" i="53"/>
  <c r="J126" i="53" s="1"/>
  <c r="J125" i="53"/>
  <c r="I125" i="53"/>
  <c r="I124" i="53"/>
  <c r="J124" i="53" s="1"/>
  <c r="J123" i="53"/>
  <c r="I123" i="53"/>
  <c r="I122" i="53"/>
  <c r="J122" i="53" s="1"/>
  <c r="J121" i="53"/>
  <c r="I121" i="53"/>
  <c r="I120" i="53"/>
  <c r="J120" i="53" s="1"/>
  <c r="I116" i="53"/>
  <c r="J116" i="53" s="1"/>
  <c r="J115" i="53"/>
  <c r="I115" i="53"/>
  <c r="I114" i="53"/>
  <c r="J114" i="53" s="1"/>
  <c r="J113" i="53"/>
  <c r="I112" i="53"/>
  <c r="J103" i="53"/>
  <c r="I103" i="53"/>
  <c r="I102" i="53"/>
  <c r="J102" i="53" s="1"/>
  <c r="J101" i="53"/>
  <c r="I101" i="53"/>
  <c r="I100" i="53"/>
  <c r="J100" i="53" s="1"/>
  <c r="J99" i="53"/>
  <c r="I99" i="53"/>
  <c r="I98" i="53"/>
  <c r="J98" i="53" s="1"/>
  <c r="J97" i="53"/>
  <c r="I97" i="53"/>
  <c r="I96" i="53"/>
  <c r="J96" i="53" s="1"/>
  <c r="I92" i="53"/>
  <c r="J92" i="53" s="1"/>
  <c r="J91" i="53"/>
  <c r="I91" i="53"/>
  <c r="I90" i="53"/>
  <c r="J89" i="53"/>
  <c r="J88" i="53"/>
  <c r="I88" i="53"/>
  <c r="I79" i="53"/>
  <c r="J79" i="53" s="1"/>
  <c r="J78" i="53"/>
  <c r="I78" i="53"/>
  <c r="I77" i="53"/>
  <c r="J77" i="53" s="1"/>
  <c r="J76" i="53"/>
  <c r="I76" i="53"/>
  <c r="I75" i="53"/>
  <c r="J75" i="53" s="1"/>
  <c r="J74" i="53"/>
  <c r="I74" i="53"/>
  <c r="I73" i="53"/>
  <c r="J73" i="53" s="1"/>
  <c r="J72" i="53"/>
  <c r="I72" i="53"/>
  <c r="I80" i="53" s="1"/>
  <c r="J80" i="53" s="1"/>
  <c r="J68" i="53"/>
  <c r="I68" i="53"/>
  <c r="I67" i="53"/>
  <c r="J66" i="53"/>
  <c r="I66" i="53"/>
  <c r="J65" i="53"/>
  <c r="J64" i="53"/>
  <c r="I64" i="53"/>
  <c r="I54" i="53"/>
  <c r="J54" i="53" s="1"/>
  <c r="J53" i="53"/>
  <c r="I53" i="53"/>
  <c r="I52" i="53"/>
  <c r="J52" i="53" s="1"/>
  <c r="J51" i="53"/>
  <c r="I51" i="53"/>
  <c r="I50" i="53"/>
  <c r="J50" i="53" s="1"/>
  <c r="J49" i="53"/>
  <c r="I49" i="53"/>
  <c r="I48" i="53"/>
  <c r="J48" i="53" s="1"/>
  <c r="J47" i="53"/>
  <c r="I47" i="53"/>
  <c r="I44" i="53"/>
  <c r="J44" i="53" s="1"/>
  <c r="J43" i="53"/>
  <c r="I43" i="53"/>
  <c r="I42" i="53"/>
  <c r="J42" i="53" s="1"/>
  <c r="J41" i="53"/>
  <c r="I41" i="53"/>
  <c r="J40" i="53"/>
  <c r="I39" i="53"/>
  <c r="J39" i="53" s="1"/>
  <c r="L31" i="53"/>
  <c r="J30" i="53"/>
  <c r="O30" i="53" s="1"/>
  <c r="P30" i="53" s="1"/>
  <c r="S30" i="53" s="1"/>
  <c r="I30" i="53"/>
  <c r="J29" i="53"/>
  <c r="I29" i="53"/>
  <c r="Q27" i="53"/>
  <c r="P27" i="53"/>
  <c r="J27" i="53"/>
  <c r="I27" i="53"/>
  <c r="P25" i="53"/>
  <c r="O25" i="53"/>
  <c r="J25" i="53"/>
  <c r="Q25" i="53" s="1"/>
  <c r="I25" i="53"/>
  <c r="Q23" i="53"/>
  <c r="I23" i="53"/>
  <c r="J23" i="53" s="1"/>
  <c r="N23" i="53" s="1"/>
  <c r="P22" i="53"/>
  <c r="I22" i="53"/>
  <c r="J22" i="53" s="1"/>
  <c r="Q22" i="53" s="1"/>
  <c r="B20" i="53"/>
  <c r="P19" i="53"/>
  <c r="C17" i="53"/>
  <c r="R16" i="53"/>
  <c r="Q16" i="53"/>
  <c r="C16" i="53"/>
  <c r="C15" i="53"/>
  <c r="C14" i="53"/>
  <c r="C13" i="53"/>
  <c r="C12" i="53"/>
  <c r="C11" i="53"/>
  <c r="C10" i="53"/>
  <c r="C9" i="53"/>
  <c r="C8" i="53"/>
  <c r="J72" i="52"/>
  <c r="I72" i="52"/>
  <c r="I71" i="52"/>
  <c r="J71" i="52" s="1"/>
  <c r="J70" i="52"/>
  <c r="I70" i="52"/>
  <c r="I69" i="52"/>
  <c r="J69" i="52" s="1"/>
  <c r="J68" i="52"/>
  <c r="I68" i="52"/>
  <c r="I67" i="52"/>
  <c r="J67" i="52" s="1"/>
  <c r="J66" i="52"/>
  <c r="I66" i="52"/>
  <c r="I65" i="52"/>
  <c r="J65" i="52" s="1"/>
  <c r="I61" i="52"/>
  <c r="J61" i="52" s="1"/>
  <c r="J60" i="52"/>
  <c r="I60" i="52"/>
  <c r="I59" i="52"/>
  <c r="J59" i="52" s="1"/>
  <c r="J58" i="52"/>
  <c r="I58" i="52"/>
  <c r="I62" i="52" s="1"/>
  <c r="I50" i="52"/>
  <c r="J50" i="52" s="1"/>
  <c r="J49" i="52"/>
  <c r="I49" i="52"/>
  <c r="I48" i="52"/>
  <c r="J48" i="52" s="1"/>
  <c r="I47" i="52"/>
  <c r="J47" i="52" s="1"/>
  <c r="I46" i="52"/>
  <c r="J46" i="52" s="1"/>
  <c r="J45" i="52"/>
  <c r="I45" i="52"/>
  <c r="J44" i="52"/>
  <c r="I44" i="52"/>
  <c r="J43" i="52"/>
  <c r="I43" i="52"/>
  <c r="J39" i="52"/>
  <c r="I39" i="52"/>
  <c r="J38" i="52"/>
  <c r="I38" i="52"/>
  <c r="J37" i="52"/>
  <c r="I37" i="52"/>
  <c r="J36" i="52"/>
  <c r="I35" i="52"/>
  <c r="L24" i="52"/>
  <c r="I24" i="52"/>
  <c r="J24" i="52" s="1"/>
  <c r="Q24" i="52" s="1"/>
  <c r="I22" i="52"/>
  <c r="J22" i="52" s="1"/>
  <c r="I21" i="52"/>
  <c r="J21" i="52" s="1"/>
  <c r="N21" i="52" s="1"/>
  <c r="P20" i="52"/>
  <c r="J20" i="52"/>
  <c r="Q20" i="52" s="1"/>
  <c r="I20" i="52"/>
  <c r="B18" i="52"/>
  <c r="S17" i="52"/>
  <c r="P17" i="52"/>
  <c r="C15" i="52"/>
  <c r="C14" i="52"/>
  <c r="C13" i="52"/>
  <c r="C12" i="52"/>
  <c r="C11" i="52"/>
  <c r="C10" i="52"/>
  <c r="C9" i="52"/>
  <c r="C8" i="52"/>
  <c r="I112" i="51"/>
  <c r="J112" i="51" s="1"/>
  <c r="I111" i="51"/>
  <c r="I110" i="51"/>
  <c r="J110" i="51" s="1"/>
  <c r="J106" i="51"/>
  <c r="I106" i="51"/>
  <c r="J105" i="51"/>
  <c r="I105" i="51"/>
  <c r="J104" i="51"/>
  <c r="I104" i="51"/>
  <c r="J103" i="51"/>
  <c r="I103" i="51"/>
  <c r="J102" i="51"/>
  <c r="I102" i="51"/>
  <c r="J101" i="51"/>
  <c r="I101" i="51"/>
  <c r="J100" i="51"/>
  <c r="I100" i="51"/>
  <c r="J99" i="51"/>
  <c r="I99" i="51"/>
  <c r="I107" i="51" s="1"/>
  <c r="L107" i="51" s="1"/>
  <c r="J95" i="51"/>
  <c r="I95" i="51"/>
  <c r="J94" i="51"/>
  <c r="I94" i="51"/>
  <c r="J93" i="51"/>
  <c r="I93" i="51"/>
  <c r="J92" i="51"/>
  <c r="I91" i="51"/>
  <c r="J82" i="51"/>
  <c r="I82" i="51"/>
  <c r="J81" i="51"/>
  <c r="I81" i="51"/>
  <c r="J80" i="51"/>
  <c r="I80" i="51"/>
  <c r="J79" i="51"/>
  <c r="I79" i="51"/>
  <c r="J78" i="51"/>
  <c r="I78" i="51"/>
  <c r="J77" i="51"/>
  <c r="I77" i="51"/>
  <c r="J76" i="51"/>
  <c r="I76" i="51"/>
  <c r="J75" i="51"/>
  <c r="I75" i="51"/>
  <c r="I83" i="51" s="1"/>
  <c r="J83" i="51" s="1"/>
  <c r="J71" i="51"/>
  <c r="I71" i="51"/>
  <c r="J70" i="51"/>
  <c r="I70" i="51"/>
  <c r="J69" i="51"/>
  <c r="I69" i="51"/>
  <c r="J68" i="51"/>
  <c r="I67" i="51"/>
  <c r="J58" i="51"/>
  <c r="J57" i="51"/>
  <c r="I57" i="51"/>
  <c r="J56" i="51"/>
  <c r="I56" i="51"/>
  <c r="J55" i="51"/>
  <c r="I55" i="51"/>
  <c r="J54" i="51"/>
  <c r="I54" i="51"/>
  <c r="J53" i="51"/>
  <c r="I53" i="51"/>
  <c r="J52" i="51"/>
  <c r="I52" i="51"/>
  <c r="J51" i="51"/>
  <c r="I51" i="51"/>
  <c r="J50" i="51"/>
  <c r="I50" i="51"/>
  <c r="I58" i="51" s="1"/>
  <c r="J46" i="51"/>
  <c r="I46" i="51"/>
  <c r="J45" i="51"/>
  <c r="I45" i="51"/>
  <c r="J44" i="51"/>
  <c r="I44" i="51"/>
  <c r="J43" i="51"/>
  <c r="I42" i="51"/>
  <c r="L34" i="51"/>
  <c r="C34" i="51"/>
  <c r="B34" i="51"/>
  <c r="M30" i="51"/>
  <c r="M34" i="51" s="1"/>
  <c r="L30" i="51"/>
  <c r="S29" i="51"/>
  <c r="I28" i="51"/>
  <c r="J28" i="51" s="1"/>
  <c r="R28" i="51" s="1"/>
  <c r="S28" i="51" s="1"/>
  <c r="P25" i="51"/>
  <c r="S25" i="51" s="1"/>
  <c r="I25" i="51"/>
  <c r="J25" i="51" s="1"/>
  <c r="Q25" i="51" s="1"/>
  <c r="P24" i="51"/>
  <c r="P23" i="51"/>
  <c r="S21" i="51"/>
  <c r="P21" i="51"/>
  <c r="I21" i="51"/>
  <c r="J21" i="51" s="1"/>
  <c r="Q21" i="51" s="1"/>
  <c r="B19" i="51"/>
  <c r="P18" i="51"/>
  <c r="C16" i="51"/>
  <c r="C15" i="51"/>
  <c r="C14" i="51"/>
  <c r="C13" i="51"/>
  <c r="C12" i="51"/>
  <c r="C11" i="51"/>
  <c r="C10" i="51"/>
  <c r="C9" i="51"/>
  <c r="C8" i="51"/>
  <c r="F68" i="50"/>
  <c r="F42" i="50" s="1"/>
  <c r="C49" i="50"/>
  <c r="B49" i="50"/>
  <c r="M48" i="50"/>
  <c r="C48" i="50"/>
  <c r="B48" i="50"/>
  <c r="M44" i="50"/>
  <c r="M49" i="50" s="1"/>
  <c r="L44" i="50"/>
  <c r="L49" i="50" s="1"/>
  <c r="N43" i="50"/>
  <c r="N44" i="50" s="1"/>
  <c r="N49" i="50" s="1"/>
  <c r="F43" i="50"/>
  <c r="I43" i="50" s="1"/>
  <c r="J43" i="50" s="1"/>
  <c r="S42" i="50"/>
  <c r="I42" i="50"/>
  <c r="J42" i="50" s="1"/>
  <c r="O42" i="50" s="1"/>
  <c r="P42" i="50" s="1"/>
  <c r="O41" i="50"/>
  <c r="P41" i="50" s="1"/>
  <c r="S41" i="50" s="1"/>
  <c r="F41" i="50"/>
  <c r="I41" i="50" s="1"/>
  <c r="J41" i="50" s="1"/>
  <c r="I40" i="50"/>
  <c r="J40" i="50" s="1"/>
  <c r="O40" i="50" s="1"/>
  <c r="P40" i="50" s="1"/>
  <c r="S40" i="50" s="1"/>
  <c r="F40" i="50"/>
  <c r="F39" i="50"/>
  <c r="I39" i="50" s="1"/>
  <c r="J39" i="50" s="1"/>
  <c r="O39" i="50" s="1"/>
  <c r="P36" i="50"/>
  <c r="N35" i="50"/>
  <c r="N48" i="50" s="1"/>
  <c r="F23" i="46" s="1"/>
  <c r="M35" i="50"/>
  <c r="L35" i="50"/>
  <c r="L48" i="50" s="1"/>
  <c r="J34" i="50"/>
  <c r="O34" i="50" s="1"/>
  <c r="P34" i="50" s="1"/>
  <c r="S34" i="50" s="1"/>
  <c r="F34" i="50"/>
  <c r="I34" i="50" s="1"/>
  <c r="I33" i="50"/>
  <c r="J33" i="50" s="1"/>
  <c r="O33" i="50" s="1"/>
  <c r="P33" i="50" s="1"/>
  <c r="S33" i="50" s="1"/>
  <c r="F33" i="50"/>
  <c r="F32" i="50"/>
  <c r="I32" i="50" s="1"/>
  <c r="J32" i="50" s="1"/>
  <c r="O32" i="50" s="1"/>
  <c r="P32" i="50" s="1"/>
  <c r="S32" i="50" s="1"/>
  <c r="F31" i="50"/>
  <c r="I31" i="50" s="1"/>
  <c r="J31" i="50" s="1"/>
  <c r="O31" i="50" s="1"/>
  <c r="P31" i="50" s="1"/>
  <c r="S31" i="50" s="1"/>
  <c r="J30" i="50"/>
  <c r="R30" i="50" s="1"/>
  <c r="R35" i="50" s="1"/>
  <c r="I30" i="50"/>
  <c r="I29" i="50"/>
  <c r="J29" i="50" s="1"/>
  <c r="O29" i="50" s="1"/>
  <c r="P29" i="50" s="1"/>
  <c r="P35" i="50" s="1"/>
  <c r="P26" i="50"/>
  <c r="C23" i="50"/>
  <c r="C22" i="50"/>
  <c r="C21" i="50"/>
  <c r="C20" i="50"/>
  <c r="C19" i="50"/>
  <c r="C18" i="50"/>
  <c r="C16" i="50"/>
  <c r="C15" i="50"/>
  <c r="C14" i="50"/>
  <c r="C13" i="50"/>
  <c r="C12" i="50"/>
  <c r="C11" i="50"/>
  <c r="C10" i="50"/>
  <c r="I281" i="49"/>
  <c r="J281" i="49" s="1"/>
  <c r="J280" i="49"/>
  <c r="I280" i="49"/>
  <c r="I279" i="49"/>
  <c r="J279" i="49" s="1"/>
  <c r="J278" i="49"/>
  <c r="I278" i="49"/>
  <c r="I277" i="49"/>
  <c r="J277" i="49" s="1"/>
  <c r="J276" i="49"/>
  <c r="I276" i="49"/>
  <c r="I275" i="49"/>
  <c r="J275" i="49" s="1"/>
  <c r="J274" i="49"/>
  <c r="I274" i="49"/>
  <c r="I282" i="49" s="1"/>
  <c r="J282" i="49" s="1"/>
  <c r="J270" i="49"/>
  <c r="I270" i="49"/>
  <c r="I269" i="49"/>
  <c r="J269" i="49" s="1"/>
  <c r="J268" i="49"/>
  <c r="I268" i="49"/>
  <c r="J267" i="49"/>
  <c r="J266" i="49"/>
  <c r="I266" i="49"/>
  <c r="I271" i="49" s="1"/>
  <c r="J257" i="49"/>
  <c r="I257" i="49"/>
  <c r="I256" i="49"/>
  <c r="J256" i="49" s="1"/>
  <c r="I255" i="49"/>
  <c r="J255" i="49" s="1"/>
  <c r="I254" i="49"/>
  <c r="J254" i="49" s="1"/>
  <c r="J253" i="49"/>
  <c r="I253" i="49"/>
  <c r="I252" i="49"/>
  <c r="J252" i="49" s="1"/>
  <c r="I251" i="49"/>
  <c r="J251" i="49" s="1"/>
  <c r="I250" i="49"/>
  <c r="J250" i="49" s="1"/>
  <c r="I246" i="49"/>
  <c r="J246" i="49" s="1"/>
  <c r="I245" i="49"/>
  <c r="I244" i="49"/>
  <c r="J244" i="49" s="1"/>
  <c r="J243" i="49"/>
  <c r="J242" i="49"/>
  <c r="I242" i="49"/>
  <c r="I233" i="49"/>
  <c r="J233" i="49" s="1"/>
  <c r="I232" i="49"/>
  <c r="J232" i="49" s="1"/>
  <c r="J231" i="49"/>
  <c r="I231" i="49"/>
  <c r="I230" i="49"/>
  <c r="J230" i="49" s="1"/>
  <c r="I229" i="49"/>
  <c r="J229" i="49" s="1"/>
  <c r="I228" i="49"/>
  <c r="J228" i="49" s="1"/>
  <c r="J227" i="49"/>
  <c r="I227" i="49"/>
  <c r="I226" i="49"/>
  <c r="J226" i="49" s="1"/>
  <c r="I223" i="49"/>
  <c r="I222" i="49"/>
  <c r="J222" i="49" s="1"/>
  <c r="J221" i="49"/>
  <c r="I221" i="49"/>
  <c r="I220" i="49"/>
  <c r="J220" i="49" s="1"/>
  <c r="J219" i="49"/>
  <c r="J218" i="49"/>
  <c r="I218" i="49"/>
  <c r="J209" i="49"/>
  <c r="I209" i="49"/>
  <c r="I208" i="49"/>
  <c r="J208" i="49" s="1"/>
  <c r="I207" i="49"/>
  <c r="J207" i="49" s="1"/>
  <c r="I206" i="49"/>
  <c r="J206" i="49" s="1"/>
  <c r="J205" i="49"/>
  <c r="I205" i="49"/>
  <c r="I204" i="49"/>
  <c r="J204" i="49" s="1"/>
  <c r="I203" i="49"/>
  <c r="J203" i="49" s="1"/>
  <c r="I202" i="49"/>
  <c r="J202" i="49" s="1"/>
  <c r="I198" i="49"/>
  <c r="J198" i="49" s="1"/>
  <c r="I197" i="49"/>
  <c r="J197" i="49" s="1"/>
  <c r="I196" i="49"/>
  <c r="J196" i="49" s="1"/>
  <c r="J195" i="49"/>
  <c r="J194" i="49"/>
  <c r="I194" i="49"/>
  <c r="I185" i="49"/>
  <c r="J185" i="49" s="1"/>
  <c r="J184" i="49"/>
  <c r="I184" i="49"/>
  <c r="I183" i="49"/>
  <c r="J183" i="49" s="1"/>
  <c r="I182" i="49"/>
  <c r="J182" i="49" s="1"/>
  <c r="I181" i="49"/>
  <c r="J181" i="49" s="1"/>
  <c r="I180" i="49"/>
  <c r="J180" i="49" s="1"/>
  <c r="I179" i="49"/>
  <c r="J179" i="49" s="1"/>
  <c r="I178" i="49"/>
  <c r="I174" i="49"/>
  <c r="J174" i="49" s="1"/>
  <c r="I173" i="49"/>
  <c r="J173" i="49" s="1"/>
  <c r="I172" i="49"/>
  <c r="J171" i="49"/>
  <c r="J170" i="49"/>
  <c r="I170" i="49"/>
  <c r="I161" i="49"/>
  <c r="J161" i="49" s="1"/>
  <c r="I160" i="49"/>
  <c r="J160" i="49" s="1"/>
  <c r="I159" i="49"/>
  <c r="J159" i="49" s="1"/>
  <c r="I158" i="49"/>
  <c r="J158" i="49" s="1"/>
  <c r="I157" i="49"/>
  <c r="J157" i="49" s="1"/>
  <c r="I156" i="49"/>
  <c r="J156" i="49" s="1"/>
  <c r="I155" i="49"/>
  <c r="J155" i="49" s="1"/>
  <c r="I154" i="49"/>
  <c r="J154" i="49" s="1"/>
  <c r="I150" i="49"/>
  <c r="J150" i="49" s="1"/>
  <c r="I149" i="49"/>
  <c r="J149" i="49" s="1"/>
  <c r="I148" i="49"/>
  <c r="J147" i="49"/>
  <c r="J146" i="49"/>
  <c r="I146" i="49"/>
  <c r="A142" i="49"/>
  <c r="I136" i="49"/>
  <c r="J136" i="49" s="1"/>
  <c r="I135" i="49"/>
  <c r="J135" i="49" s="1"/>
  <c r="I134" i="49"/>
  <c r="J134" i="49" s="1"/>
  <c r="I133" i="49"/>
  <c r="J133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17" i="49"/>
  <c r="J117" i="49" s="1"/>
  <c r="I116" i="49"/>
  <c r="J116" i="49" s="1"/>
  <c r="I115" i="49"/>
  <c r="J114" i="49"/>
  <c r="J113" i="49"/>
  <c r="I113" i="49"/>
  <c r="A109" i="49"/>
  <c r="J103" i="49"/>
  <c r="I103" i="49"/>
  <c r="J102" i="49"/>
  <c r="I102" i="49"/>
  <c r="J101" i="49"/>
  <c r="I101" i="49"/>
  <c r="I104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7" i="49"/>
  <c r="I86" i="49"/>
  <c r="J86" i="49" s="1"/>
  <c r="I85" i="49"/>
  <c r="J85" i="49" s="1"/>
  <c r="I84" i="49"/>
  <c r="J84" i="49" s="1"/>
  <c r="J83" i="49"/>
  <c r="J82" i="49"/>
  <c r="I82" i="49"/>
  <c r="A78" i="49"/>
  <c r="L68" i="49"/>
  <c r="C68" i="49"/>
  <c r="B68" i="49"/>
  <c r="L67" i="49"/>
  <c r="C67" i="49"/>
  <c r="B67" i="49"/>
  <c r="C66" i="49"/>
  <c r="B66" i="49"/>
  <c r="M62" i="49"/>
  <c r="M68" i="49" s="1"/>
  <c r="L62" i="49"/>
  <c r="R60" i="49"/>
  <c r="Q60" i="49"/>
  <c r="S60" i="49" s="1"/>
  <c r="P60" i="49"/>
  <c r="P59" i="49"/>
  <c r="P58" i="49"/>
  <c r="P57" i="49"/>
  <c r="P64" i="49" s="1"/>
  <c r="I56" i="49"/>
  <c r="J56" i="49" s="1"/>
  <c r="B53" i="49"/>
  <c r="M51" i="49"/>
  <c r="M67" i="49" s="1"/>
  <c r="L51" i="49"/>
  <c r="J49" i="49"/>
  <c r="O49" i="49" s="1"/>
  <c r="P49" i="49" s="1"/>
  <c r="I49" i="49"/>
  <c r="P48" i="49"/>
  <c r="M43" i="49"/>
  <c r="M66" i="49" s="1"/>
  <c r="E18" i="46" s="1"/>
  <c r="E21" i="46" s="1"/>
  <c r="L43" i="49"/>
  <c r="L66" i="49" s="1"/>
  <c r="D18" i="46" s="1"/>
  <c r="D21" i="46" s="1"/>
  <c r="P42" i="49"/>
  <c r="P41" i="49"/>
  <c r="Q39" i="49"/>
  <c r="P39" i="49"/>
  <c r="P38" i="49"/>
  <c r="Q38" i="49" s="1"/>
  <c r="S34" i="49"/>
  <c r="S44" i="49" s="1"/>
  <c r="S52" i="49" s="1"/>
  <c r="C32" i="49"/>
  <c r="C31" i="49"/>
  <c r="C30" i="49"/>
  <c r="C29" i="49"/>
  <c r="C28" i="49"/>
  <c r="C27" i="49"/>
  <c r="C26" i="49"/>
  <c r="C23" i="49"/>
  <c r="C22" i="49"/>
  <c r="C21" i="49"/>
  <c r="C20" i="49"/>
  <c r="C19" i="49"/>
  <c r="C17" i="49"/>
  <c r="C16" i="49"/>
  <c r="C15" i="49"/>
  <c r="C14" i="49"/>
  <c r="C13" i="49"/>
  <c r="C12" i="49"/>
  <c r="C11" i="49"/>
  <c r="J64" i="48"/>
  <c r="I64" i="48"/>
  <c r="J63" i="48"/>
  <c r="I63" i="48"/>
  <c r="J62" i="48"/>
  <c r="I62" i="48"/>
  <c r="J61" i="48"/>
  <c r="I61" i="48"/>
  <c r="J60" i="48"/>
  <c r="I60" i="48"/>
  <c r="J59" i="48"/>
  <c r="I59" i="48"/>
  <c r="J58" i="48"/>
  <c r="I58" i="48"/>
  <c r="J57" i="48"/>
  <c r="I57" i="48"/>
  <c r="I65" i="48" s="1"/>
  <c r="J65" i="48" s="1"/>
  <c r="J53" i="48"/>
  <c r="I53" i="48"/>
  <c r="J52" i="48"/>
  <c r="I52" i="48"/>
  <c r="J51" i="48"/>
  <c r="I51" i="48"/>
  <c r="J50" i="48"/>
  <c r="I49" i="48"/>
  <c r="I54" i="48" s="1"/>
  <c r="A45" i="48"/>
  <c r="I42" i="48"/>
  <c r="I43" i="48" s="1"/>
  <c r="I41" i="48"/>
  <c r="J41" i="48" s="1"/>
  <c r="I40" i="48"/>
  <c r="J40" i="48" s="1"/>
  <c r="I39" i="48"/>
  <c r="J39" i="48" s="1"/>
  <c r="J42" i="48" s="1"/>
  <c r="C29" i="48"/>
  <c r="B29" i="48"/>
  <c r="P27" i="48"/>
  <c r="I23" i="48"/>
  <c r="J23" i="48" s="1"/>
  <c r="L23" i="48" s="1"/>
  <c r="P21" i="48"/>
  <c r="R13" i="48"/>
  <c r="Q13" i="48"/>
  <c r="S13" i="48" s="1"/>
  <c r="C13" i="48"/>
  <c r="C12" i="48"/>
  <c r="C11" i="48"/>
  <c r="C10" i="48"/>
  <c r="B9" i="48"/>
  <c r="J168" i="47"/>
  <c r="I168" i="47"/>
  <c r="J167" i="47"/>
  <c r="I167" i="47"/>
  <c r="J166" i="47"/>
  <c r="I166" i="47"/>
  <c r="J165" i="47"/>
  <c r="I165" i="47"/>
  <c r="J164" i="47"/>
  <c r="I164" i="47"/>
  <c r="J163" i="47"/>
  <c r="I163" i="47"/>
  <c r="J162" i="47"/>
  <c r="I162" i="47"/>
  <c r="J161" i="47"/>
  <c r="I161" i="47"/>
  <c r="I169" i="47" s="1"/>
  <c r="J169" i="47" s="1"/>
  <c r="J157" i="47"/>
  <c r="I157" i="47"/>
  <c r="J156" i="47"/>
  <c r="I156" i="47"/>
  <c r="J155" i="47"/>
  <c r="I155" i="47"/>
  <c r="J153" i="47"/>
  <c r="I153" i="47"/>
  <c r="I158" i="47" s="1"/>
  <c r="J144" i="47"/>
  <c r="I144" i="47"/>
  <c r="J143" i="47"/>
  <c r="I143" i="47"/>
  <c r="J142" i="47"/>
  <c r="I142" i="47"/>
  <c r="J141" i="47"/>
  <c r="I141" i="47"/>
  <c r="J140" i="47"/>
  <c r="I140" i="47"/>
  <c r="J139" i="47"/>
  <c r="I139" i="47"/>
  <c r="J138" i="47"/>
  <c r="I138" i="47"/>
  <c r="J137" i="47"/>
  <c r="I137" i="47"/>
  <c r="I145" i="47" s="1"/>
  <c r="J145" i="47" s="1"/>
  <c r="J134" i="47"/>
  <c r="J147" i="47" s="1"/>
  <c r="L147" i="47" s="1"/>
  <c r="J133" i="47"/>
  <c r="I133" i="47"/>
  <c r="J132" i="47"/>
  <c r="I132" i="47"/>
  <c r="J131" i="47"/>
  <c r="I131" i="47"/>
  <c r="J130" i="47"/>
  <c r="J129" i="47"/>
  <c r="I129" i="47"/>
  <c r="I134" i="47" s="1"/>
  <c r="I147" i="47" s="1"/>
  <c r="K147" i="47" s="1"/>
  <c r="E58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09" i="47"/>
  <c r="J109" i="47" s="1"/>
  <c r="I108" i="47"/>
  <c r="J108" i="47" s="1"/>
  <c r="I107" i="47"/>
  <c r="J106" i="47"/>
  <c r="J105" i="47"/>
  <c r="I105" i="47"/>
  <c r="J96" i="47"/>
  <c r="I96" i="47"/>
  <c r="J95" i="47"/>
  <c r="I95" i="47"/>
  <c r="J94" i="47"/>
  <c r="I94" i="47"/>
  <c r="J93" i="47"/>
  <c r="I93" i="47"/>
  <c r="J92" i="47"/>
  <c r="I92" i="47"/>
  <c r="J91" i="47"/>
  <c r="I91" i="47"/>
  <c r="J90" i="47"/>
  <c r="I90" i="47"/>
  <c r="J89" i="47"/>
  <c r="J97" i="47" s="1"/>
  <c r="I89" i="47"/>
  <c r="I97" i="47" s="1"/>
  <c r="J85" i="47"/>
  <c r="I85" i="47"/>
  <c r="J84" i="47"/>
  <c r="I84" i="47"/>
  <c r="J83" i="47"/>
  <c r="I83" i="47"/>
  <c r="J82" i="47"/>
  <c r="I81" i="47"/>
  <c r="N71" i="47"/>
  <c r="M71" i="47"/>
  <c r="L71" i="47"/>
  <c r="C71" i="47"/>
  <c r="B71" i="47"/>
  <c r="C70" i="47"/>
  <c r="B70" i="47"/>
  <c r="R66" i="47"/>
  <c r="R59" i="47"/>
  <c r="P59" i="47"/>
  <c r="O59" i="47"/>
  <c r="P58" i="47"/>
  <c r="I58" i="47"/>
  <c r="R52" i="47"/>
  <c r="R71" i="47" s="1"/>
  <c r="Q52" i="47"/>
  <c r="P40" i="47"/>
  <c r="P47" i="47" s="1"/>
  <c r="P54" i="47" s="1"/>
  <c r="P61" i="47" s="1"/>
  <c r="P68" i="47" s="1"/>
  <c r="Q38" i="47"/>
  <c r="I38" i="47"/>
  <c r="J38" i="47" s="1"/>
  <c r="R37" i="47"/>
  <c r="I37" i="47"/>
  <c r="J37" i="47" s="1"/>
  <c r="O36" i="47"/>
  <c r="P36" i="47" s="1"/>
  <c r="I36" i="47"/>
  <c r="J36" i="47" s="1"/>
  <c r="R36" i="47" s="1"/>
  <c r="R35" i="47"/>
  <c r="P35" i="47"/>
  <c r="S35" i="47" s="1"/>
  <c r="O35" i="47"/>
  <c r="J35" i="47"/>
  <c r="Q35" i="47" s="1"/>
  <c r="I35" i="47"/>
  <c r="P31" i="47"/>
  <c r="I29" i="47"/>
  <c r="J29" i="47" s="1"/>
  <c r="L29" i="47" s="1"/>
  <c r="I28" i="47"/>
  <c r="J28" i="47" s="1"/>
  <c r="L28" i="47" s="1"/>
  <c r="M27" i="47"/>
  <c r="N27" i="47" s="1"/>
  <c r="O27" i="47" s="1"/>
  <c r="L27" i="47"/>
  <c r="I27" i="47"/>
  <c r="J27" i="47" s="1"/>
  <c r="I26" i="47"/>
  <c r="J26" i="47" s="1"/>
  <c r="L26" i="47" s="1"/>
  <c r="P25" i="47"/>
  <c r="L25" i="47"/>
  <c r="M25" i="47" s="1"/>
  <c r="N25" i="47" s="1"/>
  <c r="O25" i="47" s="1"/>
  <c r="J25" i="47"/>
  <c r="I25" i="47"/>
  <c r="I24" i="47"/>
  <c r="J24" i="47" s="1"/>
  <c r="L24" i="47" s="1"/>
  <c r="L23" i="47"/>
  <c r="M23" i="47" s="1"/>
  <c r="N23" i="47" s="1"/>
  <c r="O23" i="47" s="1"/>
  <c r="J23" i="47"/>
  <c r="I23" i="47"/>
  <c r="I22" i="47"/>
  <c r="J22" i="47" s="1"/>
  <c r="L22" i="47" s="1"/>
  <c r="P21" i="47"/>
  <c r="L21" i="47"/>
  <c r="M21" i="47" s="1"/>
  <c r="N21" i="47" s="1"/>
  <c r="O21" i="47" s="1"/>
  <c r="J21" i="47"/>
  <c r="I21" i="47"/>
  <c r="I20" i="47"/>
  <c r="J20" i="47" s="1"/>
  <c r="C15" i="47"/>
  <c r="C14" i="47"/>
  <c r="C13" i="47"/>
  <c r="C12" i="47"/>
  <c r="C11" i="47"/>
  <c r="C10" i="47"/>
  <c r="F4" i="47"/>
  <c r="J12" i="46" s="1"/>
  <c r="K39" i="46"/>
  <c r="J39" i="46"/>
  <c r="I39" i="46"/>
  <c r="H39" i="46"/>
  <c r="K35" i="46"/>
  <c r="J35" i="46"/>
  <c r="I35" i="46"/>
  <c r="H35" i="46"/>
  <c r="F35" i="46"/>
  <c r="G34" i="46"/>
  <c r="G35" i="46" s="1"/>
  <c r="F34" i="46"/>
  <c r="E34" i="46"/>
  <c r="E35" i="46" s="1"/>
  <c r="D34" i="46"/>
  <c r="D35" i="46" s="1"/>
  <c r="D32" i="46"/>
  <c r="D33" i="46" s="1"/>
  <c r="C32" i="46"/>
  <c r="D30" i="46"/>
  <c r="D31" i="46" s="1"/>
  <c r="C30" i="46"/>
  <c r="C28" i="46"/>
  <c r="E26" i="46"/>
  <c r="E27" i="46" s="1"/>
  <c r="D26" i="46"/>
  <c r="D27" i="46" s="1"/>
  <c r="C26" i="46"/>
  <c r="F25" i="46"/>
  <c r="F24" i="46"/>
  <c r="E24" i="46"/>
  <c r="E25" i="46" s="1"/>
  <c r="D24" i="46"/>
  <c r="C24" i="46"/>
  <c r="E23" i="46"/>
  <c r="D23" i="46"/>
  <c r="D25" i="46" s="1"/>
  <c r="C23" i="46"/>
  <c r="C22" i="46"/>
  <c r="E20" i="46"/>
  <c r="D20" i="46"/>
  <c r="C20" i="46"/>
  <c r="E19" i="46"/>
  <c r="D19" i="46"/>
  <c r="C19" i="46"/>
  <c r="C18" i="46"/>
  <c r="C17" i="46"/>
  <c r="C15" i="46"/>
  <c r="C14" i="46"/>
  <c r="F12" i="46"/>
  <c r="E12" i="46"/>
  <c r="D12" i="46"/>
  <c r="C12" i="46"/>
  <c r="C11" i="46"/>
  <c r="C10" i="46"/>
  <c r="L21" i="52" l="1"/>
  <c r="L27" i="52" s="1"/>
  <c r="D28" i="46" s="1"/>
  <c r="D29" i="46" s="1"/>
  <c r="E23" i="37" s="1"/>
  <c r="L20" i="47"/>
  <c r="J30" i="47"/>
  <c r="M28" i="47"/>
  <c r="N28" i="47" s="1"/>
  <c r="O28" i="47" s="1"/>
  <c r="P28" i="47"/>
  <c r="Q21" i="47"/>
  <c r="R21" i="47" s="1"/>
  <c r="M24" i="47"/>
  <c r="N24" i="47" s="1"/>
  <c r="O24" i="47" s="1"/>
  <c r="P24" i="47"/>
  <c r="J43" i="48"/>
  <c r="J44" i="48" s="1"/>
  <c r="F22" i="48"/>
  <c r="I22" i="48" s="1"/>
  <c r="J22" i="48" s="1"/>
  <c r="Q56" i="49"/>
  <c r="O56" i="49"/>
  <c r="M22" i="47"/>
  <c r="N22" i="47" s="1"/>
  <c r="O22" i="47" s="1"/>
  <c r="P22" i="47"/>
  <c r="M29" i="47"/>
  <c r="N29" i="47" s="1"/>
  <c r="O29" i="47" s="1"/>
  <c r="O37" i="47"/>
  <c r="P37" i="47" s="1"/>
  <c r="Q37" i="47"/>
  <c r="O39" i="47"/>
  <c r="P39" i="47" s="1"/>
  <c r="I59" i="47"/>
  <c r="J58" i="47"/>
  <c r="H100" i="49"/>
  <c r="P48" i="50"/>
  <c r="D3" i="50"/>
  <c r="Q25" i="47"/>
  <c r="R25" i="47" s="1"/>
  <c r="P23" i="47"/>
  <c r="M26" i="47"/>
  <c r="N26" i="47" s="1"/>
  <c r="O26" i="47" s="1"/>
  <c r="P26" i="47"/>
  <c r="P27" i="47"/>
  <c r="I30" i="47"/>
  <c r="O38" i="47"/>
  <c r="P38" i="47" s="1"/>
  <c r="R38" i="47"/>
  <c r="J129" i="49"/>
  <c r="I129" i="49"/>
  <c r="I118" i="49"/>
  <c r="J115" i="49"/>
  <c r="I137" i="49"/>
  <c r="Q36" i="47"/>
  <c r="S36" i="47" s="1"/>
  <c r="I86" i="47"/>
  <c r="J81" i="47"/>
  <c r="I121" i="47"/>
  <c r="J121" i="47" s="1"/>
  <c r="I105" i="49"/>
  <c r="J104" i="49"/>
  <c r="J162" i="49"/>
  <c r="I162" i="49"/>
  <c r="I186" i="49"/>
  <c r="J186" i="49" s="1"/>
  <c r="J178" i="49"/>
  <c r="J223" i="49"/>
  <c r="O44" i="50"/>
  <c r="O49" i="50" s="1"/>
  <c r="G24" i="46" s="1"/>
  <c r="P39" i="50"/>
  <c r="J271" i="49"/>
  <c r="J284" i="49" s="1"/>
  <c r="I284" i="49"/>
  <c r="K284" i="49" s="1"/>
  <c r="F58" i="49" s="1"/>
  <c r="I58" i="49" s="1"/>
  <c r="J58" i="49" s="1"/>
  <c r="Q58" i="49" s="1"/>
  <c r="S58" i="49" s="1"/>
  <c r="O35" i="50"/>
  <c r="O48" i="50" s="1"/>
  <c r="G23" i="46" s="1"/>
  <c r="G25" i="46" s="1"/>
  <c r="S29" i="50"/>
  <c r="I39" i="47"/>
  <c r="J39" i="47"/>
  <c r="I110" i="47"/>
  <c r="J107" i="47"/>
  <c r="I171" i="47"/>
  <c r="K171" i="47" s="1"/>
  <c r="E65" i="47" s="1"/>
  <c r="I65" i="47" s="1"/>
  <c r="J158" i="47"/>
  <c r="J171" i="47" s="1"/>
  <c r="L171" i="47" s="1"/>
  <c r="L24" i="48"/>
  <c r="L29" i="48" s="1"/>
  <c r="D15" i="46" s="1"/>
  <c r="D16" i="46" s="1"/>
  <c r="E13" i="37" s="1"/>
  <c r="M23" i="48"/>
  <c r="I67" i="48"/>
  <c r="K67" i="48" s="1"/>
  <c r="J87" i="49"/>
  <c r="I151" i="49"/>
  <c r="J148" i="49"/>
  <c r="I175" i="49"/>
  <c r="I188" i="49" s="1"/>
  <c r="K188" i="49" s="1"/>
  <c r="J172" i="49"/>
  <c r="J175" i="49" s="1"/>
  <c r="J188" i="49" s="1"/>
  <c r="I247" i="49"/>
  <c r="J245" i="49"/>
  <c r="Q49" i="49"/>
  <c r="S49" i="49" s="1"/>
  <c r="I199" i="49"/>
  <c r="R43" i="50"/>
  <c r="R44" i="50" s="1"/>
  <c r="Q43" i="50"/>
  <c r="Q44" i="50" s="1"/>
  <c r="J111" i="51"/>
  <c r="I113" i="51"/>
  <c r="M24" i="52"/>
  <c r="N24" i="52" s="1"/>
  <c r="O24" i="52" s="1"/>
  <c r="P24" i="52"/>
  <c r="O29" i="53"/>
  <c r="P29" i="53" s="1"/>
  <c r="S29" i="53" s="1"/>
  <c r="Q29" i="53"/>
  <c r="R29" i="53"/>
  <c r="I104" i="53"/>
  <c r="J104" i="53" s="1"/>
  <c r="O29" i="54"/>
  <c r="P29" i="54" s="1"/>
  <c r="S29" i="54" s="1"/>
  <c r="Q29" i="54"/>
  <c r="I98" i="49"/>
  <c r="R48" i="50"/>
  <c r="F3" i="50"/>
  <c r="R22" i="52"/>
  <c r="Q22" i="52"/>
  <c r="O22" i="52"/>
  <c r="P22" i="52" s="1"/>
  <c r="S22" i="52" s="1"/>
  <c r="J69" i="53"/>
  <c r="J82" i="53" s="1"/>
  <c r="J67" i="53"/>
  <c r="I69" i="53"/>
  <c r="I82" i="53" s="1"/>
  <c r="J49" i="48"/>
  <c r="J54" i="48" s="1"/>
  <c r="J67" i="48" s="1"/>
  <c r="L67" i="48" s="1"/>
  <c r="J210" i="49"/>
  <c r="Q30" i="50"/>
  <c r="P43" i="50"/>
  <c r="S43" i="50" s="1"/>
  <c r="I96" i="51"/>
  <c r="J91" i="51"/>
  <c r="J96" i="51" s="1"/>
  <c r="I141" i="53"/>
  <c r="J141" i="53" s="1"/>
  <c r="K141" i="53"/>
  <c r="I65" i="54"/>
  <c r="J52" i="54"/>
  <c r="S20" i="52"/>
  <c r="I75" i="52"/>
  <c r="S22" i="53"/>
  <c r="I117" i="53"/>
  <c r="J112" i="53"/>
  <c r="J117" i="53" s="1"/>
  <c r="J136" i="53" s="1"/>
  <c r="J134" i="53"/>
  <c r="I210" i="49"/>
  <c r="I234" i="49"/>
  <c r="J234" i="49" s="1"/>
  <c r="I258" i="49"/>
  <c r="J258" i="49" s="1"/>
  <c r="I72" i="51"/>
  <c r="I85" i="51" s="1"/>
  <c r="L85" i="51" s="1"/>
  <c r="J67" i="51"/>
  <c r="J72" i="51" s="1"/>
  <c r="J85" i="51" s="1"/>
  <c r="J107" i="51"/>
  <c r="S25" i="53"/>
  <c r="I139" i="53"/>
  <c r="I142" i="53" s="1"/>
  <c r="H139" i="53"/>
  <c r="I47" i="51"/>
  <c r="J42" i="51"/>
  <c r="M21" i="52"/>
  <c r="O21" i="52"/>
  <c r="P21" i="52" s="1"/>
  <c r="R24" i="52"/>
  <c r="I40" i="52"/>
  <c r="J35" i="52"/>
  <c r="J40" i="52" s="1"/>
  <c r="J62" i="52"/>
  <c r="P23" i="53"/>
  <c r="J55" i="53"/>
  <c r="J57" i="53" s="1"/>
  <c r="I128" i="53"/>
  <c r="J128" i="53" s="1"/>
  <c r="J139" i="53"/>
  <c r="J142" i="53" s="1"/>
  <c r="J16" i="55"/>
  <c r="K15" i="55"/>
  <c r="I73" i="52"/>
  <c r="J73" i="52" s="1"/>
  <c r="S27" i="53"/>
  <c r="I55" i="53"/>
  <c r="I57" i="53" s="1"/>
  <c r="R38" i="54"/>
  <c r="S38" i="54" s="1"/>
  <c r="I77" i="54"/>
  <c r="I90" i="54" s="1"/>
  <c r="J72" i="54"/>
  <c r="J77" i="54" s="1"/>
  <c r="J90" i="54" s="1"/>
  <c r="I51" i="52"/>
  <c r="J51" i="52" s="1"/>
  <c r="I93" i="53"/>
  <c r="J90" i="53"/>
  <c r="S26" i="54"/>
  <c r="J63" i="54"/>
  <c r="I63" i="54"/>
  <c r="J47" i="54"/>
  <c r="J4" i="27"/>
  <c r="K4" i="27" s="1"/>
  <c r="M4" i="27" s="1"/>
  <c r="J5" i="27"/>
  <c r="K5" i="27" s="1"/>
  <c r="M5" i="27" s="1"/>
  <c r="N5" i="27" s="1"/>
  <c r="J8" i="27"/>
  <c r="K8" i="27" s="1"/>
  <c r="M8" i="27" s="1"/>
  <c r="J9" i="27"/>
  <c r="K9" i="27"/>
  <c r="M9" i="27" s="1"/>
  <c r="F10" i="27"/>
  <c r="J10" i="27" s="1"/>
  <c r="K10" i="27" s="1"/>
  <c r="M10" i="27" s="1"/>
  <c r="N10" i="27" s="1"/>
  <c r="J13" i="27"/>
  <c r="K13" i="27"/>
  <c r="M13" i="27" s="1"/>
  <c r="G14" i="27"/>
  <c r="J14" i="27" s="1"/>
  <c r="K14" i="27" s="1"/>
  <c r="M14" i="27" s="1"/>
  <c r="N14" i="27" s="1"/>
  <c r="O14" i="27" s="1"/>
  <c r="J15" i="27"/>
  <c r="K15" i="27" s="1"/>
  <c r="M15" i="27" s="1"/>
  <c r="N15" i="27" s="1"/>
  <c r="O15" i="27" s="1"/>
  <c r="O5" i="27"/>
  <c r="C10" i="39"/>
  <c r="C29" i="37" s="1"/>
  <c r="I30" i="45"/>
  <c r="I32" i="45"/>
  <c r="I33" i="45"/>
  <c r="J33" i="45" s="1"/>
  <c r="I34" i="45"/>
  <c r="I38" i="45"/>
  <c r="J38" i="45" s="1"/>
  <c r="I39" i="45"/>
  <c r="I40" i="45"/>
  <c r="I41" i="45"/>
  <c r="I42" i="45"/>
  <c r="J42" i="45" s="1"/>
  <c r="I43" i="45"/>
  <c r="I44" i="45"/>
  <c r="I45" i="45"/>
  <c r="I46" i="45"/>
  <c r="J46" i="45" s="1"/>
  <c r="J30" i="45"/>
  <c r="J31" i="45"/>
  <c r="J34" i="45"/>
  <c r="J45" i="45"/>
  <c r="J44" i="45"/>
  <c r="J43" i="45"/>
  <c r="J41" i="45"/>
  <c r="J40" i="45"/>
  <c r="J39" i="45"/>
  <c r="P20" i="45"/>
  <c r="U20" i="45" s="1"/>
  <c r="R20" i="45"/>
  <c r="W20" i="45"/>
  <c r="P21" i="45"/>
  <c r="R21" i="45"/>
  <c r="U21" i="45"/>
  <c r="P22" i="45"/>
  <c r="M22" i="45"/>
  <c r="K22" i="45"/>
  <c r="C14" i="45"/>
  <c r="C21" i="45" s="1"/>
  <c r="C13" i="45"/>
  <c r="C20" i="45"/>
  <c r="C12" i="45"/>
  <c r="C19" i="45" s="1"/>
  <c r="Y17" i="45"/>
  <c r="T17" i="45"/>
  <c r="O17" i="45"/>
  <c r="N14" i="45"/>
  <c r="Q14" i="45"/>
  <c r="S14" i="45"/>
  <c r="V14" i="45" s="1"/>
  <c r="W14" i="45" s="1"/>
  <c r="Q13" i="45"/>
  <c r="S13" i="45"/>
  <c r="N13" i="45"/>
  <c r="O13" i="45"/>
  <c r="H17" i="44"/>
  <c r="I17" i="44" s="1"/>
  <c r="K17" i="44" s="1"/>
  <c r="L17" i="44" s="1"/>
  <c r="Y15" i="44"/>
  <c r="T15" i="44"/>
  <c r="O15" i="44"/>
  <c r="C11" i="44"/>
  <c r="B15" i="44"/>
  <c r="P4" i="44"/>
  <c r="G52" i="43"/>
  <c r="G53" i="43"/>
  <c r="D54" i="43"/>
  <c r="G54" i="43"/>
  <c r="G56" i="43" s="1"/>
  <c r="D55" i="43"/>
  <c r="G55" i="43" s="1"/>
  <c r="G45" i="43"/>
  <c r="G46" i="43"/>
  <c r="D47" i="43"/>
  <c r="G47" i="43"/>
  <c r="D48" i="43"/>
  <c r="G48" i="43" s="1"/>
  <c r="D29" i="43"/>
  <c r="H29" i="43" s="1"/>
  <c r="I29" i="43" s="1"/>
  <c r="M29" i="43" s="1"/>
  <c r="N29" i="43"/>
  <c r="N30" i="43" s="1"/>
  <c r="N38" i="43" s="1"/>
  <c r="P29" i="43"/>
  <c r="Q29" i="43" s="1"/>
  <c r="V29" i="43" s="1"/>
  <c r="U29" i="43"/>
  <c r="X29" i="43"/>
  <c r="X30" i="43" s="1"/>
  <c r="X38" i="43" s="1"/>
  <c r="X24" i="43"/>
  <c r="X37" i="43"/>
  <c r="V24" i="43"/>
  <c r="V37" i="43" s="1"/>
  <c r="V39" i="43" s="1"/>
  <c r="V30" i="43"/>
  <c r="V38" i="43"/>
  <c r="U24" i="43"/>
  <c r="U37" i="43" s="1"/>
  <c r="U39" i="43" s="1"/>
  <c r="U30" i="43"/>
  <c r="U38" i="43" s="1"/>
  <c r="S24" i="43"/>
  <c r="S37" i="43" s="1"/>
  <c r="S30" i="43"/>
  <c r="S38" i="43" s="1"/>
  <c r="S39" i="43"/>
  <c r="Q24" i="43"/>
  <c r="Q37" i="43" s="1"/>
  <c r="Q39" i="43" s="1"/>
  <c r="Q30" i="43"/>
  <c r="Q38" i="43" s="1"/>
  <c r="P24" i="43"/>
  <c r="P37" i="43"/>
  <c r="P39" i="43" s="1"/>
  <c r="P30" i="43"/>
  <c r="P38" i="43" s="1"/>
  <c r="N24" i="43"/>
  <c r="N37" i="43" s="1"/>
  <c r="N39" i="43"/>
  <c r="L24" i="43"/>
  <c r="L37" i="43"/>
  <c r="L30" i="43"/>
  <c r="L38" i="43" s="1"/>
  <c r="E26" i="39" s="1"/>
  <c r="K24" i="43"/>
  <c r="K37" i="43" s="1"/>
  <c r="K39" i="43" s="1"/>
  <c r="K30" i="43"/>
  <c r="K38" i="43" s="1"/>
  <c r="C15" i="43"/>
  <c r="C28" i="43" s="1"/>
  <c r="C38" i="43" s="1"/>
  <c r="B28" i="43"/>
  <c r="B38" i="43"/>
  <c r="C12" i="43"/>
  <c r="C22" i="43" s="1"/>
  <c r="C37" i="43" s="1"/>
  <c r="B22" i="43"/>
  <c r="B37" i="43" s="1"/>
  <c r="C29" i="43"/>
  <c r="Y20" i="43"/>
  <c r="Y26" i="43" s="1"/>
  <c r="T20" i="43"/>
  <c r="T26" i="43" s="1"/>
  <c r="O20" i="43"/>
  <c r="O26" i="43" s="1"/>
  <c r="B26" i="43"/>
  <c r="C23" i="43"/>
  <c r="B20" i="43"/>
  <c r="H20" i="42"/>
  <c r="I20" i="42" s="1"/>
  <c r="K20" i="42" s="1"/>
  <c r="P20" i="42"/>
  <c r="C12" i="42"/>
  <c r="C19" i="42" s="1"/>
  <c r="B19" i="42"/>
  <c r="B17" i="42"/>
  <c r="H27" i="41"/>
  <c r="I27" i="41" s="1"/>
  <c r="K27" i="41" s="1"/>
  <c r="H28" i="41"/>
  <c r="I28" i="41" s="1"/>
  <c r="K28" i="41"/>
  <c r="H29" i="41"/>
  <c r="I29" i="41" s="1"/>
  <c r="K29" i="41" s="1"/>
  <c r="H35" i="41"/>
  <c r="I35" i="41" s="1"/>
  <c r="K35" i="41" s="1"/>
  <c r="N35" i="41"/>
  <c r="H36" i="41"/>
  <c r="I36" i="41" s="1"/>
  <c r="K36" i="41"/>
  <c r="H37" i="41"/>
  <c r="I37" i="41" s="1"/>
  <c r="K37" i="41" s="1"/>
  <c r="C17" i="41"/>
  <c r="C34" i="41" s="1"/>
  <c r="C46" i="41"/>
  <c r="B46" i="41"/>
  <c r="C12" i="41"/>
  <c r="C26" i="41" s="1"/>
  <c r="C45" i="41" s="1"/>
  <c r="B45" i="41"/>
  <c r="C36" i="41"/>
  <c r="Y24" i="41"/>
  <c r="Y32" i="41"/>
  <c r="T24" i="41"/>
  <c r="T32" i="41" s="1"/>
  <c r="O24" i="41"/>
  <c r="O32" i="41"/>
  <c r="B32" i="41"/>
  <c r="C29" i="41"/>
  <c r="C28" i="41"/>
  <c r="C27" i="41"/>
  <c r="B24" i="41"/>
  <c r="I111" i="40"/>
  <c r="I113" i="40"/>
  <c r="I114" i="40"/>
  <c r="J114" i="40" s="1"/>
  <c r="I115" i="40"/>
  <c r="I119" i="40"/>
  <c r="J119" i="40" s="1"/>
  <c r="I120" i="40"/>
  <c r="I121" i="40"/>
  <c r="I122" i="40"/>
  <c r="I123" i="40"/>
  <c r="J123" i="40" s="1"/>
  <c r="I124" i="40"/>
  <c r="I125" i="40"/>
  <c r="I126" i="40"/>
  <c r="I127" i="40"/>
  <c r="J127" i="40" s="1"/>
  <c r="J111" i="40"/>
  <c r="J112" i="40"/>
  <c r="J113" i="40"/>
  <c r="J116" i="40" s="1"/>
  <c r="J129" i="40" s="1"/>
  <c r="J115" i="40"/>
  <c r="J126" i="40"/>
  <c r="J125" i="40"/>
  <c r="J124" i="40"/>
  <c r="J122" i="40"/>
  <c r="J121" i="40"/>
  <c r="J120" i="40"/>
  <c r="I87" i="40"/>
  <c r="I89" i="40"/>
  <c r="I90" i="40"/>
  <c r="J90" i="40" s="1"/>
  <c r="I91" i="40"/>
  <c r="I95" i="40"/>
  <c r="I96" i="40"/>
  <c r="I97" i="40"/>
  <c r="I98" i="40"/>
  <c r="I99" i="40"/>
  <c r="I100" i="40"/>
  <c r="I101" i="40"/>
  <c r="I102" i="40"/>
  <c r="I103" i="40"/>
  <c r="J95" i="40"/>
  <c r="J96" i="40"/>
  <c r="J97" i="40"/>
  <c r="J98" i="40"/>
  <c r="J99" i="40"/>
  <c r="J100" i="40"/>
  <c r="J101" i="40"/>
  <c r="J102" i="40"/>
  <c r="J103" i="40"/>
  <c r="J91" i="40"/>
  <c r="J89" i="40"/>
  <c r="J88" i="40"/>
  <c r="J87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D80" i="40"/>
  <c r="D81" i="40" s="1"/>
  <c r="C41" i="40"/>
  <c r="B64" i="40" s="1"/>
  <c r="H33" i="40"/>
  <c r="I33" i="40" s="1"/>
  <c r="K33" i="40" s="1"/>
  <c r="L33" i="40"/>
  <c r="P33" i="40"/>
  <c r="U33" i="40" s="1"/>
  <c r="H34" i="40"/>
  <c r="I34" i="40"/>
  <c r="K34" i="40" s="1"/>
  <c r="H35" i="40"/>
  <c r="I35" i="40" s="1"/>
  <c r="K35" i="40"/>
  <c r="L41" i="40"/>
  <c r="N41" i="40"/>
  <c r="Q41" i="40"/>
  <c r="S41" i="40"/>
  <c r="V41" i="40"/>
  <c r="X41" i="40"/>
  <c r="H42" i="40"/>
  <c r="I42" i="40" s="1"/>
  <c r="K42" i="40" s="1"/>
  <c r="O42" i="40" s="1"/>
  <c r="P42" i="40"/>
  <c r="T42" i="40" s="1"/>
  <c r="Z42" i="40" s="1"/>
  <c r="R42" i="40"/>
  <c r="S42" i="40"/>
  <c r="U42" i="40"/>
  <c r="Y42" i="40" s="1"/>
  <c r="W42" i="40"/>
  <c r="X42" i="40"/>
  <c r="O59" i="40"/>
  <c r="P59" i="40"/>
  <c r="Q59" i="40"/>
  <c r="T59" i="40" s="1"/>
  <c r="E8" i="40" s="1"/>
  <c r="I14" i="39" s="1"/>
  <c r="R59" i="40"/>
  <c r="S59" i="40"/>
  <c r="U59" i="40"/>
  <c r="V59" i="40"/>
  <c r="W59" i="40"/>
  <c r="X59" i="40"/>
  <c r="Y59" i="40"/>
  <c r="X43" i="40"/>
  <c r="X57" i="40" s="1"/>
  <c r="X50" i="40"/>
  <c r="X58" i="40" s="1"/>
  <c r="V43" i="40"/>
  <c r="V57" i="40" s="1"/>
  <c r="S43" i="40"/>
  <c r="S57" i="40"/>
  <c r="Q43" i="40"/>
  <c r="Q57" i="40"/>
  <c r="N43" i="40"/>
  <c r="N57" i="40" s="1"/>
  <c r="G12" i="39" s="1"/>
  <c r="L43" i="40"/>
  <c r="L57" i="40" s="1"/>
  <c r="E12" i="39" s="1"/>
  <c r="K50" i="40"/>
  <c r="K58" i="40"/>
  <c r="D13" i="39" s="1"/>
  <c r="C59" i="40"/>
  <c r="C24" i="40"/>
  <c r="C47" i="40"/>
  <c r="C58" i="40" s="1"/>
  <c r="C20" i="40"/>
  <c r="C40" i="40" s="1"/>
  <c r="C57" i="40"/>
  <c r="C15" i="40"/>
  <c r="C32" i="40"/>
  <c r="C56" i="40" s="1"/>
  <c r="B56" i="40"/>
  <c r="C49" i="40"/>
  <c r="C48" i="40"/>
  <c r="O47" i="40"/>
  <c r="Y30" i="40"/>
  <c r="T30" i="40"/>
  <c r="T38" i="40" s="1"/>
  <c r="T45" i="40"/>
  <c r="O30" i="40"/>
  <c r="O38" i="40"/>
  <c r="O45" i="40" s="1"/>
  <c r="B45" i="40"/>
  <c r="C42" i="40"/>
  <c r="B38" i="40"/>
  <c r="C35" i="40"/>
  <c r="C34" i="40"/>
  <c r="C33" i="40"/>
  <c r="B30" i="40"/>
  <c r="S16" i="40"/>
  <c r="R16" i="40"/>
  <c r="Q16" i="40"/>
  <c r="P16" i="40"/>
  <c r="F8" i="40"/>
  <c r="G9" i="40"/>
  <c r="K36" i="39"/>
  <c r="J14" i="39"/>
  <c r="F36" i="39"/>
  <c r="E36" i="39"/>
  <c r="D36" i="39"/>
  <c r="F32" i="39"/>
  <c r="F33" i="39"/>
  <c r="D32" i="39"/>
  <c r="D33" i="39"/>
  <c r="C33" i="39"/>
  <c r="C32" i="39"/>
  <c r="C31" i="39"/>
  <c r="C38" i="37" s="1"/>
  <c r="C29" i="39"/>
  <c r="C28" i="39"/>
  <c r="C37" i="37" s="1"/>
  <c r="G25" i="39"/>
  <c r="G27" i="39" s="1"/>
  <c r="H36" i="37" s="1"/>
  <c r="G26" i="39"/>
  <c r="E25" i="39"/>
  <c r="E27" i="39" s="1"/>
  <c r="F36" i="37" s="1"/>
  <c r="D25" i="39"/>
  <c r="D26" i="39"/>
  <c r="C26" i="39"/>
  <c r="C25" i="39"/>
  <c r="C24" i="39"/>
  <c r="C36" i="37" s="1"/>
  <c r="C21" i="39"/>
  <c r="C35" i="37" s="1"/>
  <c r="C18" i="39"/>
  <c r="C17" i="39"/>
  <c r="C16" i="39"/>
  <c r="C34" i="37" s="1"/>
  <c r="G14" i="39"/>
  <c r="F14" i="39"/>
  <c r="E14" i="39"/>
  <c r="D14" i="39"/>
  <c r="C14" i="39"/>
  <c r="C13" i="39"/>
  <c r="B13" i="39"/>
  <c r="C12" i="39"/>
  <c r="B12" i="39"/>
  <c r="C11" i="39"/>
  <c r="B11" i="39"/>
  <c r="H58" i="22"/>
  <c r="I58" i="22"/>
  <c r="M58" i="22"/>
  <c r="Q58" i="22"/>
  <c r="S58" i="22"/>
  <c r="C52" i="22"/>
  <c r="C35" i="22"/>
  <c r="C24" i="22"/>
  <c r="C89" i="21"/>
  <c r="C11" i="37"/>
  <c r="S5" i="23"/>
  <c r="H60" i="22"/>
  <c r="I60" i="22"/>
  <c r="S60" i="22" s="1"/>
  <c r="R60" i="22"/>
  <c r="Q60" i="22"/>
  <c r="N60" i="22"/>
  <c r="O60" i="22"/>
  <c r="H61" i="22"/>
  <c r="I61" i="22"/>
  <c r="H55" i="22"/>
  <c r="I55" i="22"/>
  <c r="K55" i="22" s="1"/>
  <c r="O55" i="22"/>
  <c r="H56" i="22"/>
  <c r="I56" i="22"/>
  <c r="L56" i="22" s="1"/>
  <c r="O56" i="22"/>
  <c r="H57" i="22"/>
  <c r="I57" i="22"/>
  <c r="L57" i="22" s="1"/>
  <c r="O57" i="22" s="1"/>
  <c r="H59" i="22"/>
  <c r="I59" i="22"/>
  <c r="M59" i="22" s="1"/>
  <c r="O59" i="22" s="1"/>
  <c r="Z59" i="22" s="1"/>
  <c r="O62" i="22"/>
  <c r="O63" i="22"/>
  <c r="O39" i="22"/>
  <c r="O40" i="22"/>
  <c r="H41" i="22"/>
  <c r="I41" i="22" s="1"/>
  <c r="K41" i="22"/>
  <c r="H42" i="22"/>
  <c r="I42" i="22" s="1"/>
  <c r="K42" i="22" s="1"/>
  <c r="O42" i="22" s="1"/>
  <c r="H43" i="22"/>
  <c r="I43" i="22" s="1"/>
  <c r="K43" i="22"/>
  <c r="O43" i="22" s="1"/>
  <c r="H44" i="22"/>
  <c r="I44" i="22" s="1"/>
  <c r="H45" i="22"/>
  <c r="I45" i="22" s="1"/>
  <c r="K45" i="22" s="1"/>
  <c r="H46" i="22"/>
  <c r="I46" i="22"/>
  <c r="H47" i="22"/>
  <c r="I47" i="22" s="1"/>
  <c r="L47" i="22" s="1"/>
  <c r="H48" i="22"/>
  <c r="I48" i="22" s="1"/>
  <c r="M48" i="22" s="1"/>
  <c r="L48" i="22"/>
  <c r="O48" i="22" s="1"/>
  <c r="N48" i="22"/>
  <c r="H49" i="22"/>
  <c r="I49" i="22" s="1"/>
  <c r="M49" i="22"/>
  <c r="O49" i="22" s="1"/>
  <c r="Z49" i="22" s="1"/>
  <c r="I142" i="23"/>
  <c r="I143" i="23"/>
  <c r="I144" i="23"/>
  <c r="I145" i="23"/>
  <c r="I146" i="23"/>
  <c r="I147" i="23"/>
  <c r="I148" i="23"/>
  <c r="J148" i="23" s="1"/>
  <c r="I149" i="23"/>
  <c r="I137" i="23"/>
  <c r="I136" i="23"/>
  <c r="I139" i="23" s="1"/>
  <c r="I134" i="23"/>
  <c r="I138" i="23"/>
  <c r="I120" i="23"/>
  <c r="I117" i="23"/>
  <c r="I118" i="23"/>
  <c r="I119" i="23"/>
  <c r="I121" i="23"/>
  <c r="I122" i="23"/>
  <c r="I123" i="23"/>
  <c r="I124" i="23"/>
  <c r="I109" i="23"/>
  <c r="I111" i="23"/>
  <c r="I114" i="23" s="1"/>
  <c r="I112" i="23"/>
  <c r="I113" i="23"/>
  <c r="N21" i="23"/>
  <c r="O38" i="23"/>
  <c r="I61" i="23"/>
  <c r="I63" i="23"/>
  <c r="I64" i="23"/>
  <c r="I66" i="23" s="1"/>
  <c r="I65" i="23"/>
  <c r="I69" i="23"/>
  <c r="I70" i="23"/>
  <c r="I71" i="23"/>
  <c r="I72" i="23"/>
  <c r="I73" i="23"/>
  <c r="I74" i="23"/>
  <c r="I75" i="23"/>
  <c r="I76" i="23"/>
  <c r="I85" i="23"/>
  <c r="I87" i="23"/>
  <c r="I90" i="23" s="1"/>
  <c r="I88" i="23"/>
  <c r="I89" i="23"/>
  <c r="I93" i="23"/>
  <c r="I94" i="23"/>
  <c r="I95" i="23"/>
  <c r="I96" i="23"/>
  <c r="I97" i="23"/>
  <c r="I98" i="23"/>
  <c r="I99" i="23"/>
  <c r="I100" i="23"/>
  <c r="O43" i="23"/>
  <c r="O44" i="23"/>
  <c r="O29" i="23"/>
  <c r="O30" i="23"/>
  <c r="H31" i="23"/>
  <c r="I31" i="23" s="1"/>
  <c r="K31" i="23" s="1"/>
  <c r="O31" i="23" s="1"/>
  <c r="H32" i="23"/>
  <c r="I32" i="23" s="1"/>
  <c r="L32" i="23"/>
  <c r="O32" i="23" s="1"/>
  <c r="H34" i="23"/>
  <c r="I34" i="23"/>
  <c r="M34" i="23" s="1"/>
  <c r="O34" i="23" s="1"/>
  <c r="H35" i="23"/>
  <c r="I35" i="23"/>
  <c r="M35" i="23" s="1"/>
  <c r="H49" i="21"/>
  <c r="I49" i="21"/>
  <c r="I50" i="21"/>
  <c r="H51" i="21"/>
  <c r="I51" i="21" s="1"/>
  <c r="M51" i="21" s="1"/>
  <c r="L51" i="21"/>
  <c r="M49" i="21"/>
  <c r="N51" i="21"/>
  <c r="H57" i="21"/>
  <c r="I57" i="21" s="1"/>
  <c r="N57" i="21" s="1"/>
  <c r="L57" i="21"/>
  <c r="H58" i="21"/>
  <c r="I58" i="21"/>
  <c r="L58" i="21" s="1"/>
  <c r="N58" i="21"/>
  <c r="H98" i="21"/>
  <c r="H101" i="21" s="1"/>
  <c r="H99" i="21"/>
  <c r="H100" i="21"/>
  <c r="D59" i="21"/>
  <c r="H59" i="21" s="1"/>
  <c r="H60" i="21"/>
  <c r="I60" i="21" s="1"/>
  <c r="N60" i="21" s="1"/>
  <c r="M60" i="21"/>
  <c r="O60" i="21"/>
  <c r="H61" i="21"/>
  <c r="I61" i="21"/>
  <c r="N61" i="21" s="1"/>
  <c r="O61" i="21"/>
  <c r="O62" i="21"/>
  <c r="H63" i="21"/>
  <c r="I63" i="21" s="1"/>
  <c r="N63" i="21" s="1"/>
  <c r="M63" i="21"/>
  <c r="O63" i="21"/>
  <c r="H64" i="21"/>
  <c r="I64" i="21"/>
  <c r="M64" i="21" s="1"/>
  <c r="N64" i="21"/>
  <c r="H65" i="21"/>
  <c r="I65" i="21" s="1"/>
  <c r="N65" i="21"/>
  <c r="O65" i="21" s="1"/>
  <c r="O71" i="21"/>
  <c r="H106" i="21"/>
  <c r="D72" i="21" s="1"/>
  <c r="H72" i="21" s="1"/>
  <c r="I72" i="21" s="1"/>
  <c r="Q72" i="21" s="1"/>
  <c r="H107" i="21"/>
  <c r="N72" i="21"/>
  <c r="O73" i="21"/>
  <c r="H74" i="21"/>
  <c r="I74" i="21"/>
  <c r="M74" i="21" s="1"/>
  <c r="N74" i="21"/>
  <c r="H75" i="21"/>
  <c r="I75" i="21" s="1"/>
  <c r="H76" i="21"/>
  <c r="I76" i="21"/>
  <c r="N76" i="21" s="1"/>
  <c r="O76" i="21" s="1"/>
  <c r="O77" i="21"/>
  <c r="H78" i="21"/>
  <c r="I78" i="21" s="1"/>
  <c r="H79" i="21"/>
  <c r="I79" i="21"/>
  <c r="N79" i="21"/>
  <c r="O26" i="24"/>
  <c r="H27" i="24"/>
  <c r="I27" i="24" s="1"/>
  <c r="M27" i="24"/>
  <c r="O27" i="24" s="1"/>
  <c r="H28" i="24"/>
  <c r="I28" i="24" s="1"/>
  <c r="N28" i="24" s="1"/>
  <c r="O29" i="24"/>
  <c r="H33" i="24"/>
  <c r="I33" i="24" s="1"/>
  <c r="K33" i="24" s="1"/>
  <c r="H34" i="24"/>
  <c r="I34" i="24"/>
  <c r="H35" i="24"/>
  <c r="I35" i="24"/>
  <c r="N35" i="24" s="1"/>
  <c r="O35" i="24" s="1"/>
  <c r="H36" i="24"/>
  <c r="I36" i="24"/>
  <c r="N36" i="24" s="1"/>
  <c r="O36" i="24"/>
  <c r="O24" i="25"/>
  <c r="H25" i="25"/>
  <c r="I25" i="25" s="1"/>
  <c r="K25" i="25" s="1"/>
  <c r="H26" i="25"/>
  <c r="I26" i="25" s="1"/>
  <c r="K26" i="25"/>
  <c r="O26" i="25" s="1"/>
  <c r="D27" i="25"/>
  <c r="H27" i="25" s="1"/>
  <c r="I27" i="25" s="1"/>
  <c r="L27" i="25" s="1"/>
  <c r="O30" i="25"/>
  <c r="D68" i="25"/>
  <c r="K68" i="25" s="1"/>
  <c r="E68" i="25"/>
  <c r="F68" i="25"/>
  <c r="G68" i="25"/>
  <c r="H68" i="25"/>
  <c r="I68" i="25"/>
  <c r="J68" i="25"/>
  <c r="D69" i="25"/>
  <c r="E69" i="25"/>
  <c r="F69" i="25"/>
  <c r="G69" i="25"/>
  <c r="H69" i="25"/>
  <c r="I69" i="25"/>
  <c r="J69" i="25"/>
  <c r="D64" i="25"/>
  <c r="E64" i="25"/>
  <c r="F64" i="25"/>
  <c r="G64" i="25"/>
  <c r="H64" i="25"/>
  <c r="I64" i="25"/>
  <c r="J64" i="25"/>
  <c r="D65" i="25"/>
  <c r="E65" i="25"/>
  <c r="F65" i="25"/>
  <c r="G65" i="25"/>
  <c r="H65" i="25"/>
  <c r="I65" i="25"/>
  <c r="J65" i="25"/>
  <c r="D66" i="25"/>
  <c r="E66" i="25"/>
  <c r="F66" i="25"/>
  <c r="G66" i="25"/>
  <c r="H66" i="25"/>
  <c r="I66" i="25"/>
  <c r="J66" i="25"/>
  <c r="D67" i="25"/>
  <c r="E67" i="25"/>
  <c r="F67" i="25"/>
  <c r="G67" i="25"/>
  <c r="H67" i="25"/>
  <c r="I67" i="25"/>
  <c r="J67" i="25"/>
  <c r="K70" i="25"/>
  <c r="D53" i="25"/>
  <c r="D34" i="25" s="1"/>
  <c r="H34" i="25"/>
  <c r="I34" i="25" s="1"/>
  <c r="M34" i="25"/>
  <c r="N34" i="25" s="1"/>
  <c r="O34" i="25"/>
  <c r="K31" i="26"/>
  <c r="K75" i="26"/>
  <c r="K76" i="26" s="1"/>
  <c r="L76" i="26" s="1"/>
  <c r="K79" i="26"/>
  <c r="K80" i="26"/>
  <c r="K81" i="26"/>
  <c r="K82" i="26"/>
  <c r="I54" i="26"/>
  <c r="I55" i="26"/>
  <c r="I56" i="26"/>
  <c r="I57" i="26"/>
  <c r="I59" i="26" s="1"/>
  <c r="I69" i="26" s="1"/>
  <c r="I58" i="26"/>
  <c r="I62" i="26"/>
  <c r="I63" i="26"/>
  <c r="I64" i="26"/>
  <c r="I65" i="26"/>
  <c r="I66" i="26"/>
  <c r="I67" i="26"/>
  <c r="D29" i="26"/>
  <c r="H29" i="26" s="1"/>
  <c r="I29" i="26" s="1"/>
  <c r="O34" i="26"/>
  <c r="H35" i="26"/>
  <c r="I35" i="26" s="1"/>
  <c r="M35" i="26"/>
  <c r="O35" i="26" s="1"/>
  <c r="H36" i="26"/>
  <c r="I36" i="26" s="1"/>
  <c r="M36" i="26"/>
  <c r="O36" i="26" s="1"/>
  <c r="H37" i="26"/>
  <c r="I37" i="26" s="1"/>
  <c r="N37" i="26"/>
  <c r="H38" i="26"/>
  <c r="I38" i="26" s="1"/>
  <c r="N38" i="26"/>
  <c r="O38" i="26" s="1"/>
  <c r="F42" i="37"/>
  <c r="E37" i="20"/>
  <c r="F43" i="37" s="1"/>
  <c r="G42" i="37"/>
  <c r="F37" i="20"/>
  <c r="G43" i="37" s="1"/>
  <c r="H42" i="37"/>
  <c r="G37" i="20"/>
  <c r="H43" i="37"/>
  <c r="P60" i="22"/>
  <c r="T60" i="22" s="1"/>
  <c r="P61" i="22"/>
  <c r="Q61" i="22"/>
  <c r="T55" i="22"/>
  <c r="T56" i="22"/>
  <c r="T57" i="22"/>
  <c r="T59" i="22"/>
  <c r="H62" i="22"/>
  <c r="I62" i="22" s="1"/>
  <c r="P62" i="22" s="1"/>
  <c r="R62" i="22"/>
  <c r="T63" i="22"/>
  <c r="T39" i="22"/>
  <c r="T40" i="22"/>
  <c r="T41" i="22"/>
  <c r="T42" i="22"/>
  <c r="T43" i="22"/>
  <c r="R44" i="22"/>
  <c r="P45" i="22"/>
  <c r="Q45" i="22"/>
  <c r="P46" i="22"/>
  <c r="Q46" i="22"/>
  <c r="Q19" i="22"/>
  <c r="Q47" i="22"/>
  <c r="R19" i="22"/>
  <c r="S19" i="22"/>
  <c r="S47" i="22"/>
  <c r="P48" i="22"/>
  <c r="Q48" i="22"/>
  <c r="R48" i="22"/>
  <c r="T48" i="22" s="1"/>
  <c r="S48" i="22"/>
  <c r="R49" i="22"/>
  <c r="T49" i="22"/>
  <c r="T38" i="23"/>
  <c r="T40" i="23"/>
  <c r="H43" i="23"/>
  <c r="I43" i="23" s="1"/>
  <c r="P43" i="23" s="1"/>
  <c r="R43" i="23"/>
  <c r="T44" i="23"/>
  <c r="T29" i="23"/>
  <c r="T30" i="23"/>
  <c r="T31" i="23"/>
  <c r="T32" i="23"/>
  <c r="T33" i="23"/>
  <c r="T34" i="23"/>
  <c r="T35" i="23"/>
  <c r="T36" i="23"/>
  <c r="E3" i="23" s="1"/>
  <c r="I20" i="20" s="1"/>
  <c r="T47" i="21"/>
  <c r="T48" i="21"/>
  <c r="T49" i="21"/>
  <c r="T50" i="21"/>
  <c r="T51" i="21"/>
  <c r="P57" i="21"/>
  <c r="T57" i="21" s="1"/>
  <c r="P58" i="21"/>
  <c r="T58" i="21"/>
  <c r="P60" i="21"/>
  <c r="Q60" i="21"/>
  <c r="T60" i="21"/>
  <c r="P61" i="21"/>
  <c r="Q61" i="21"/>
  <c r="R61" i="21"/>
  <c r="S61" i="21"/>
  <c r="U61" i="21" s="1"/>
  <c r="V61" i="21" s="1"/>
  <c r="W61" i="21" s="1"/>
  <c r="T62" i="21"/>
  <c r="P63" i="21"/>
  <c r="Q63" i="21"/>
  <c r="R63" i="21" s="1"/>
  <c r="S63" i="21" s="1"/>
  <c r="U63" i="21" s="1"/>
  <c r="T63" i="21"/>
  <c r="P64" i="21"/>
  <c r="Q64" i="21"/>
  <c r="R64" i="21" s="1"/>
  <c r="S64" i="21"/>
  <c r="T64" i="21"/>
  <c r="H66" i="21"/>
  <c r="I66" i="21"/>
  <c r="P72" i="21"/>
  <c r="R72" i="21"/>
  <c r="T72" i="21"/>
  <c r="D108" i="21"/>
  <c r="H108" i="21" s="1"/>
  <c r="P74" i="21"/>
  <c r="Q74" i="21"/>
  <c r="R74" i="21"/>
  <c r="T74" i="21" s="1"/>
  <c r="P76" i="21"/>
  <c r="Q76" i="21"/>
  <c r="R76" i="21" s="1"/>
  <c r="S76" i="21"/>
  <c r="U76" i="21" s="1"/>
  <c r="Y76" i="21" s="1"/>
  <c r="T77" i="21"/>
  <c r="Q78" i="21"/>
  <c r="R78" i="21"/>
  <c r="S78" i="21" s="1"/>
  <c r="U78" i="21" s="1"/>
  <c r="T26" i="24"/>
  <c r="T27" i="24"/>
  <c r="R28" i="24"/>
  <c r="T28" i="24"/>
  <c r="H29" i="24"/>
  <c r="I29" i="24" s="1"/>
  <c r="S29" i="24"/>
  <c r="S35" i="24"/>
  <c r="X35" i="24" s="1"/>
  <c r="T35" i="24"/>
  <c r="S36" i="24"/>
  <c r="T36" i="24" s="1"/>
  <c r="T24" i="25"/>
  <c r="T25" i="25"/>
  <c r="T28" i="25" s="1"/>
  <c r="E3" i="25" s="1"/>
  <c r="T26" i="25"/>
  <c r="T27" i="25"/>
  <c r="T30" i="25"/>
  <c r="P34" i="25"/>
  <c r="Q34" i="25" s="1"/>
  <c r="R34" i="25"/>
  <c r="S34" i="25"/>
  <c r="P29" i="26"/>
  <c r="L75" i="26"/>
  <c r="M75" i="26" s="1"/>
  <c r="N75" i="26"/>
  <c r="O75" i="26" s="1"/>
  <c r="O76" i="26" s="1"/>
  <c r="O85" i="26" s="1"/>
  <c r="U30" i="26" s="1"/>
  <c r="N76" i="26"/>
  <c r="L80" i="26"/>
  <c r="M80" i="26" s="1"/>
  <c r="N80" i="26"/>
  <c r="O80" i="26" s="1"/>
  <c r="L82" i="26"/>
  <c r="M82" i="26" s="1"/>
  <c r="N82" i="26" s="1"/>
  <c r="O82" i="26" s="1"/>
  <c r="O83" i="26" s="1"/>
  <c r="N83" i="26"/>
  <c r="T34" i="26"/>
  <c r="T35" i="26"/>
  <c r="P36" i="26"/>
  <c r="Q36" i="26"/>
  <c r="R36" i="26"/>
  <c r="S37" i="26"/>
  <c r="T37" i="26"/>
  <c r="S38" i="26"/>
  <c r="T38" i="26" s="1"/>
  <c r="Z38" i="26" s="1"/>
  <c r="Y55" i="22"/>
  <c r="Y56" i="22"/>
  <c r="Y57" i="22"/>
  <c r="Y59" i="22"/>
  <c r="U61" i="22"/>
  <c r="V61" i="22"/>
  <c r="Y61" i="22" s="1"/>
  <c r="W61" i="22"/>
  <c r="X61" i="22"/>
  <c r="W62" i="22"/>
  <c r="Y62" i="22" s="1"/>
  <c r="H63" i="22"/>
  <c r="I63" i="22"/>
  <c r="W63" i="22"/>
  <c r="Y63" i="22" s="1"/>
  <c r="Z63" i="22" s="1"/>
  <c r="Y39" i="22"/>
  <c r="Y40" i="22"/>
  <c r="Y41" i="22"/>
  <c r="Y42" i="22"/>
  <c r="Y43" i="22"/>
  <c r="Y44" i="22"/>
  <c r="Y45" i="22"/>
  <c r="U46" i="22"/>
  <c r="U19" i="22"/>
  <c r="U47" i="22"/>
  <c r="V47" i="22"/>
  <c r="W47" i="22"/>
  <c r="X47" i="22"/>
  <c r="U48" i="22"/>
  <c r="V48" i="22"/>
  <c r="W48" i="22" s="1"/>
  <c r="X48" i="22" s="1"/>
  <c r="Y48" i="22"/>
  <c r="Y38" i="23"/>
  <c r="Y40" i="23"/>
  <c r="Y41" i="23"/>
  <c r="U43" i="23"/>
  <c r="Y43" i="23" s="1"/>
  <c r="Y29" i="23"/>
  <c r="Y30" i="23"/>
  <c r="Y31" i="23"/>
  <c r="Y32" i="23"/>
  <c r="Y33" i="23"/>
  <c r="Y34" i="23"/>
  <c r="Y35" i="23"/>
  <c r="Y52" i="21"/>
  <c r="Y87" i="21" s="1"/>
  <c r="F5" i="21" s="1"/>
  <c r="J11" i="20" s="1"/>
  <c r="Y57" i="21"/>
  <c r="Y58" i="21"/>
  <c r="Y60" i="21"/>
  <c r="X61" i="21"/>
  <c r="Y61" i="21"/>
  <c r="Y62" i="21"/>
  <c r="U64" i="21"/>
  <c r="U72" i="21"/>
  <c r="Y72" i="21" s="1"/>
  <c r="U74" i="21"/>
  <c r="Y74" i="21" s="1"/>
  <c r="Y75" i="21"/>
  <c r="V76" i="21"/>
  <c r="X76" i="21"/>
  <c r="Y77" i="21"/>
  <c r="Z77" i="21" s="1"/>
  <c r="W78" i="21"/>
  <c r="Y26" i="24"/>
  <c r="Y27" i="24"/>
  <c r="W28" i="24"/>
  <c r="Y28" i="24" s="1"/>
  <c r="Y35" i="24"/>
  <c r="Z35" i="24" s="1"/>
  <c r="X36" i="24"/>
  <c r="Y36" i="24" s="1"/>
  <c r="Y24" i="25"/>
  <c r="Y25" i="25"/>
  <c r="Y28" i="25" s="1"/>
  <c r="Y41" i="25" s="1"/>
  <c r="Y26" i="25"/>
  <c r="Y27" i="25"/>
  <c r="Y30" i="25"/>
  <c r="U34" i="25"/>
  <c r="U29" i="26"/>
  <c r="Y34" i="26"/>
  <c r="Y35" i="26"/>
  <c r="U36" i="26"/>
  <c r="W36" i="26"/>
  <c r="X37" i="26"/>
  <c r="Y37" i="26"/>
  <c r="X38" i="26"/>
  <c r="Y38" i="26"/>
  <c r="P5" i="27"/>
  <c r="P8" i="27"/>
  <c r="P9" i="27"/>
  <c r="P14" i="27"/>
  <c r="P15" i="27"/>
  <c r="E42" i="37"/>
  <c r="D37" i="20"/>
  <c r="E43" i="37"/>
  <c r="L39" i="26"/>
  <c r="L46" i="26"/>
  <c r="E33" i="20"/>
  <c r="M39" i="26"/>
  <c r="M46" i="26" s="1"/>
  <c r="F33" i="20" s="1"/>
  <c r="K45" i="26"/>
  <c r="D32" i="20"/>
  <c r="K39" i="26"/>
  <c r="K46" i="26" s="1"/>
  <c r="D33" i="20" s="1"/>
  <c r="D34" i="20" s="1"/>
  <c r="E31" i="37" s="1"/>
  <c r="C31" i="37"/>
  <c r="L35" i="25"/>
  <c r="L42" i="25" s="1"/>
  <c r="E29" i="20" s="1"/>
  <c r="M28" i="25"/>
  <c r="M41" i="25" s="1"/>
  <c r="N28" i="25"/>
  <c r="N41" i="25" s="1"/>
  <c r="G28" i="20"/>
  <c r="K35" i="25"/>
  <c r="K42" i="25" s="1"/>
  <c r="D29" i="20"/>
  <c r="C30" i="37"/>
  <c r="L30" i="24"/>
  <c r="L43" i="24" s="1"/>
  <c r="E24" i="20" s="1"/>
  <c r="M30" i="24"/>
  <c r="M43" i="24" s="1"/>
  <c r="F24" i="20"/>
  <c r="K30" i="24"/>
  <c r="K43" i="24" s="1"/>
  <c r="D24" i="20" s="1"/>
  <c r="K37" i="24"/>
  <c r="K44" i="24" s="1"/>
  <c r="C26" i="37"/>
  <c r="L45" i="23"/>
  <c r="L52" i="23"/>
  <c r="E21" i="20" s="1"/>
  <c r="N36" i="23"/>
  <c r="N51" i="23"/>
  <c r="G20" i="20" s="1"/>
  <c r="K36" i="23"/>
  <c r="K51" i="23" s="1"/>
  <c r="K45" i="23"/>
  <c r="K52" i="23" s="1"/>
  <c r="D21" i="20" s="1"/>
  <c r="C19" i="37"/>
  <c r="H50" i="22"/>
  <c r="I50" i="22" s="1"/>
  <c r="M64" i="22"/>
  <c r="M71" i="22" s="1"/>
  <c r="F17" i="20" s="1"/>
  <c r="K64" i="22"/>
  <c r="K71" i="22" s="1"/>
  <c r="D17" i="20" s="1"/>
  <c r="C18" i="37"/>
  <c r="K87" i="21"/>
  <c r="D11" i="20" s="1"/>
  <c r="K67" i="21"/>
  <c r="K88" i="21"/>
  <c r="D12" i="20" s="1"/>
  <c r="K80" i="21"/>
  <c r="K89" i="21"/>
  <c r="D13" i="20"/>
  <c r="L80" i="21"/>
  <c r="L89" i="21" s="1"/>
  <c r="E13" i="20" s="1"/>
  <c r="E36" i="20"/>
  <c r="E38" i="20"/>
  <c r="F36" i="20"/>
  <c r="F38" i="20" s="1"/>
  <c r="G36" i="20"/>
  <c r="G38" i="20"/>
  <c r="D36" i="20"/>
  <c r="D38" i="20" s="1"/>
  <c r="M12" i="27"/>
  <c r="J11" i="27"/>
  <c r="K11" i="27" s="1"/>
  <c r="M7" i="27"/>
  <c r="M3" i="27"/>
  <c r="M84" i="26"/>
  <c r="I82" i="26"/>
  <c r="J82" i="26"/>
  <c r="L81" i="26"/>
  <c r="M81" i="26" s="1"/>
  <c r="I81" i="26"/>
  <c r="J81" i="26"/>
  <c r="I80" i="26"/>
  <c r="J80" i="26" s="1"/>
  <c r="L79" i="26"/>
  <c r="M79" i="26"/>
  <c r="I79" i="26"/>
  <c r="J79" i="26" s="1"/>
  <c r="M76" i="26"/>
  <c r="I75" i="26"/>
  <c r="I76" i="26" s="1"/>
  <c r="K74" i="26"/>
  <c r="L74" i="26"/>
  <c r="J66" i="26"/>
  <c r="J65" i="26"/>
  <c r="J64" i="26"/>
  <c r="J63" i="26"/>
  <c r="J62" i="26"/>
  <c r="J67" i="26"/>
  <c r="J58" i="26"/>
  <c r="J57" i="26"/>
  <c r="J56" i="26"/>
  <c r="J55" i="26"/>
  <c r="J54" i="26"/>
  <c r="C46" i="26"/>
  <c r="C45" i="26"/>
  <c r="V39" i="26"/>
  <c r="V46" i="26"/>
  <c r="B38" i="26"/>
  <c r="B37" i="26"/>
  <c r="B36" i="26"/>
  <c r="B35" i="26"/>
  <c r="H34" i="26"/>
  <c r="I34" i="26" s="1"/>
  <c r="B34" i="26"/>
  <c r="H33" i="26"/>
  <c r="I33" i="26"/>
  <c r="T32" i="26"/>
  <c r="O32" i="26"/>
  <c r="B30" i="26"/>
  <c r="B29" i="26"/>
  <c r="Y28" i="26"/>
  <c r="T28" i="26"/>
  <c r="O28" i="26"/>
  <c r="Z28" i="26" s="1"/>
  <c r="H28" i="26"/>
  <c r="I28" i="26" s="1"/>
  <c r="B28" i="26"/>
  <c r="Y27" i="26"/>
  <c r="T27" i="26"/>
  <c r="O27" i="26"/>
  <c r="H27" i="26"/>
  <c r="I27" i="26"/>
  <c r="B27" i="26"/>
  <c r="H26" i="26"/>
  <c r="I26" i="26"/>
  <c r="Y24" i="26"/>
  <c r="T24" i="26"/>
  <c r="O24" i="26"/>
  <c r="C16" i="26"/>
  <c r="C33" i="26" s="1"/>
  <c r="B32" i="26"/>
  <c r="C10" i="26"/>
  <c r="K62" i="25"/>
  <c r="K61" i="25"/>
  <c r="K60" i="25"/>
  <c r="K59" i="25"/>
  <c r="K58" i="25"/>
  <c r="C42" i="25"/>
  <c r="V28" i="25"/>
  <c r="V41" i="25" s="1"/>
  <c r="R28" i="25"/>
  <c r="R41" i="25"/>
  <c r="C41" i="25"/>
  <c r="B34" i="25"/>
  <c r="B33" i="25"/>
  <c r="B32" i="25"/>
  <c r="B31" i="25"/>
  <c r="H30" i="25"/>
  <c r="I30" i="25" s="1"/>
  <c r="C15" i="25"/>
  <c r="C30" i="25" s="1"/>
  <c r="X28" i="25"/>
  <c r="X41" i="25" s="1"/>
  <c r="W28" i="25"/>
  <c r="W41" i="25" s="1"/>
  <c r="U28" i="25"/>
  <c r="U41" i="25" s="1"/>
  <c r="S28" i="25"/>
  <c r="S41" i="25"/>
  <c r="Q28" i="25"/>
  <c r="Q41" i="25" s="1"/>
  <c r="P28" i="25"/>
  <c r="P41" i="25"/>
  <c r="B27" i="25"/>
  <c r="Z26" i="25"/>
  <c r="B26" i="25"/>
  <c r="B25" i="25"/>
  <c r="Y22" i="25"/>
  <c r="T22" i="25"/>
  <c r="O22" i="25"/>
  <c r="C10" i="25"/>
  <c r="C24" i="25" s="1"/>
  <c r="C44" i="24"/>
  <c r="C43" i="24"/>
  <c r="B36" i="24"/>
  <c r="B35" i="24"/>
  <c r="B34" i="24"/>
  <c r="B33" i="24"/>
  <c r="Y32" i="24"/>
  <c r="T32" i="24"/>
  <c r="O32" i="24"/>
  <c r="Z32" i="24" s="1"/>
  <c r="H32" i="24"/>
  <c r="I32" i="24"/>
  <c r="C16" i="24"/>
  <c r="O31" i="24"/>
  <c r="Z31" i="24" s="1"/>
  <c r="T31" i="24"/>
  <c r="Y31" i="24"/>
  <c r="V30" i="24"/>
  <c r="V43" i="24"/>
  <c r="U30" i="24"/>
  <c r="U43" i="24" s="1"/>
  <c r="Q30" i="24"/>
  <c r="Q43" i="24"/>
  <c r="B29" i="24"/>
  <c r="B28" i="24"/>
  <c r="B27" i="24"/>
  <c r="H26" i="24"/>
  <c r="I26" i="24" s="1"/>
  <c r="B26" i="24"/>
  <c r="O25" i="24"/>
  <c r="Z25" i="24" s="1"/>
  <c r="T25" i="24"/>
  <c r="Y25" i="24"/>
  <c r="C10" i="24"/>
  <c r="C25" i="24" s="1"/>
  <c r="Y23" i="24"/>
  <c r="T23" i="24"/>
  <c r="O23" i="24"/>
  <c r="Z20" i="24"/>
  <c r="Z19" i="24"/>
  <c r="Z18" i="24"/>
  <c r="Z17" i="24"/>
  <c r="Z14" i="24"/>
  <c r="Z13" i="24"/>
  <c r="Z12" i="24"/>
  <c r="Z11" i="24"/>
  <c r="J149" i="23"/>
  <c r="J147" i="23"/>
  <c r="J146" i="23"/>
  <c r="J145" i="23"/>
  <c r="J143" i="23"/>
  <c r="J142" i="23"/>
  <c r="J138" i="23"/>
  <c r="J137" i="23"/>
  <c r="J136" i="23"/>
  <c r="J134" i="23"/>
  <c r="J124" i="23"/>
  <c r="J123" i="23"/>
  <c r="J122" i="23"/>
  <c r="J121" i="23"/>
  <c r="J120" i="23"/>
  <c r="J119" i="23"/>
  <c r="J118" i="23"/>
  <c r="J117" i="23"/>
  <c r="J113" i="23"/>
  <c r="J112" i="23"/>
  <c r="J111" i="23"/>
  <c r="J110" i="23"/>
  <c r="J114" i="23" s="1"/>
  <c r="J109" i="23"/>
  <c r="J100" i="23"/>
  <c r="J99" i="23"/>
  <c r="J98" i="23"/>
  <c r="J97" i="23"/>
  <c r="J96" i="23"/>
  <c r="J95" i="23"/>
  <c r="J94" i="23"/>
  <c r="J93" i="23"/>
  <c r="J89" i="23"/>
  <c r="J88" i="23"/>
  <c r="J87" i="23"/>
  <c r="J86" i="23"/>
  <c r="J76" i="23"/>
  <c r="J75" i="23"/>
  <c r="J74" i="23"/>
  <c r="J73" i="23"/>
  <c r="J72" i="23"/>
  <c r="J71" i="23"/>
  <c r="J70" i="23"/>
  <c r="J77" i="23" s="1"/>
  <c r="J69" i="23"/>
  <c r="J65" i="23"/>
  <c r="J64" i="23"/>
  <c r="J63" i="23"/>
  <c r="J62" i="23"/>
  <c r="C52" i="23"/>
  <c r="P36" i="23"/>
  <c r="P51" i="23" s="1"/>
  <c r="C51" i="23"/>
  <c r="C44" i="23"/>
  <c r="C43" i="23"/>
  <c r="C42" i="23"/>
  <c r="C41" i="23"/>
  <c r="C40" i="23"/>
  <c r="C39" i="23"/>
  <c r="Y37" i="23"/>
  <c r="T37" i="23"/>
  <c r="O37" i="23"/>
  <c r="X36" i="23"/>
  <c r="X51" i="23" s="1"/>
  <c r="W36" i="23"/>
  <c r="W51" i="23"/>
  <c r="V36" i="23"/>
  <c r="V51" i="23" s="1"/>
  <c r="U36" i="23"/>
  <c r="U51" i="23"/>
  <c r="S36" i="23"/>
  <c r="S51" i="23" s="1"/>
  <c r="R36" i="23"/>
  <c r="R51" i="23"/>
  <c r="Q36" i="23"/>
  <c r="Q51" i="23" s="1"/>
  <c r="C35" i="23"/>
  <c r="C34" i="23"/>
  <c r="C33" i="23"/>
  <c r="C32" i="23"/>
  <c r="C31" i="23"/>
  <c r="Z30" i="23"/>
  <c r="H30" i="23"/>
  <c r="I30" i="23"/>
  <c r="C30" i="23"/>
  <c r="Z29" i="23"/>
  <c r="C10" i="23"/>
  <c r="C29" i="23"/>
  <c r="Y27" i="23"/>
  <c r="T27" i="23"/>
  <c r="O27" i="23"/>
  <c r="B27" i="23"/>
  <c r="Y24" i="23"/>
  <c r="Y22" i="23"/>
  <c r="Z22" i="23" s="1"/>
  <c r="T22" i="23"/>
  <c r="C18" i="23"/>
  <c r="B37" i="23" s="1"/>
  <c r="C38" i="23"/>
  <c r="B47" i="22"/>
  <c r="B63" i="22"/>
  <c r="B43" i="22"/>
  <c r="B59" i="22" s="1"/>
  <c r="Z57" i="22"/>
  <c r="Z55" i="22"/>
  <c r="C54" i="22"/>
  <c r="C50" i="22"/>
  <c r="B50" i="22"/>
  <c r="C49" i="22"/>
  <c r="B49" i="22"/>
  <c r="C48" i="22"/>
  <c r="B48" i="22"/>
  <c r="C47" i="22"/>
  <c r="C46" i="22"/>
  <c r="B46" i="22"/>
  <c r="B62" i="22"/>
  <c r="C45" i="22"/>
  <c r="B45" i="22"/>
  <c r="B61" i="22"/>
  <c r="C44" i="22"/>
  <c r="B44" i="22"/>
  <c r="B60" i="22" s="1"/>
  <c r="Z43" i="22"/>
  <c r="C43" i="22"/>
  <c r="Z42" i="22"/>
  <c r="C42" i="22"/>
  <c r="B42" i="22"/>
  <c r="B58" i="22"/>
  <c r="C41" i="22"/>
  <c r="B41" i="22"/>
  <c r="B57" i="22" s="1"/>
  <c r="Z40" i="22"/>
  <c r="H40" i="22"/>
  <c r="I40" i="22" s="1"/>
  <c r="C40" i="22"/>
  <c r="B40" i="22"/>
  <c r="B56" i="22" s="1"/>
  <c r="H39" i="22"/>
  <c r="I39" i="22" s="1"/>
  <c r="C39" i="22"/>
  <c r="B39" i="22"/>
  <c r="B55" i="22" s="1"/>
  <c r="C71" i="22"/>
  <c r="C10" i="22"/>
  <c r="C70" i="22" s="1"/>
  <c r="C38" i="22"/>
  <c r="I106" i="21"/>
  <c r="I100" i="21"/>
  <c r="I99" i="21"/>
  <c r="I101" i="21" s="1"/>
  <c r="I98" i="21"/>
  <c r="X80" i="21"/>
  <c r="X89" i="21"/>
  <c r="C88" i="21"/>
  <c r="X87" i="21"/>
  <c r="W87" i="21"/>
  <c r="V87" i="21"/>
  <c r="U87" i="21"/>
  <c r="S87" i="21"/>
  <c r="R87" i="21"/>
  <c r="Q87" i="21"/>
  <c r="P87" i="21"/>
  <c r="C87" i="21"/>
  <c r="B79" i="21"/>
  <c r="B78" i="21"/>
  <c r="H77" i="21"/>
  <c r="I77" i="21" s="1"/>
  <c r="B77" i="21"/>
  <c r="B76" i="21"/>
  <c r="B75" i="21"/>
  <c r="B74" i="21"/>
  <c r="B73" i="21"/>
  <c r="B72" i="21"/>
  <c r="B69" i="21"/>
  <c r="B66" i="21"/>
  <c r="B65" i="21"/>
  <c r="B64" i="21"/>
  <c r="B63" i="21"/>
  <c r="Z62" i="21"/>
  <c r="H62" i="21"/>
  <c r="I62" i="21" s="1"/>
  <c r="B62" i="21"/>
  <c r="B61" i="21"/>
  <c r="B60" i="21"/>
  <c r="B59" i="21"/>
  <c r="B58" i="21"/>
  <c r="B57" i="21"/>
  <c r="B54" i="21"/>
  <c r="Y51" i="21"/>
  <c r="B51" i="21"/>
  <c r="Y50" i="21"/>
  <c r="B50" i="21"/>
  <c r="Y49" i="21"/>
  <c r="B49" i="21"/>
  <c r="Y48" i="21"/>
  <c r="Z48" i="21" s="1"/>
  <c r="O48" i="21"/>
  <c r="H48" i="21"/>
  <c r="I48" i="21" s="1"/>
  <c r="B48" i="21"/>
  <c r="O47" i="21"/>
  <c r="Y47" i="21"/>
  <c r="Z47" i="21" s="1"/>
  <c r="H47" i="21"/>
  <c r="I47" i="21" s="1"/>
  <c r="B47" i="21"/>
  <c r="O45" i="21"/>
  <c r="Y44" i="21"/>
  <c r="Y54" i="21" s="1"/>
  <c r="T44" i="21"/>
  <c r="T54" i="21"/>
  <c r="O44" i="21"/>
  <c r="O54" i="21" s="1"/>
  <c r="B44" i="21"/>
  <c r="Z35" i="26"/>
  <c r="Z56" i="22"/>
  <c r="Z32" i="23"/>
  <c r="K90" i="21"/>
  <c r="Z39" i="22"/>
  <c r="W49" i="22"/>
  <c r="U50" i="22"/>
  <c r="U51" i="22" s="1"/>
  <c r="U70" i="22" s="1"/>
  <c r="U72" i="22" s="1"/>
  <c r="X64" i="22"/>
  <c r="X71" i="22"/>
  <c r="V64" i="22"/>
  <c r="V71" i="22" s="1"/>
  <c r="Z60" i="22"/>
  <c r="T51" i="23"/>
  <c r="Z34" i="23"/>
  <c r="J85" i="23"/>
  <c r="Z26" i="24"/>
  <c r="S30" i="24"/>
  <c r="S43" i="24"/>
  <c r="I107" i="21"/>
  <c r="Z38" i="23"/>
  <c r="J66" i="23"/>
  <c r="Z27" i="24"/>
  <c r="J61" i="23"/>
  <c r="R30" i="24"/>
  <c r="R43" i="24"/>
  <c r="Z24" i="25"/>
  <c r="C26" i="26"/>
  <c r="B24" i="26"/>
  <c r="B22" i="25"/>
  <c r="Z34" i="26"/>
  <c r="J83" i="26"/>
  <c r="R39" i="26"/>
  <c r="R46" i="26" s="1"/>
  <c r="W39" i="26"/>
  <c r="W46" i="26"/>
  <c r="Q39" i="26"/>
  <c r="Q46" i="26" s="1"/>
  <c r="S39" i="26"/>
  <c r="S46" i="26"/>
  <c r="J16" i="27"/>
  <c r="K16" i="27" s="1"/>
  <c r="I83" i="26"/>
  <c r="J6" i="27"/>
  <c r="K6" i="27"/>
  <c r="X39" i="26"/>
  <c r="X46" i="26"/>
  <c r="P39" i="26"/>
  <c r="P46" i="26" s="1"/>
  <c r="J59" i="26"/>
  <c r="J69" i="26" s="1"/>
  <c r="Z36" i="24"/>
  <c r="Q64" i="22"/>
  <c r="Q71" i="22" s="1"/>
  <c r="J139" i="23"/>
  <c r="W64" i="22"/>
  <c r="W71" i="22" s="1"/>
  <c r="W30" i="24"/>
  <c r="W43" i="24" s="1"/>
  <c r="O51" i="21"/>
  <c r="Z51" i="21"/>
  <c r="J90" i="23"/>
  <c r="U64" i="22"/>
  <c r="U71" i="22"/>
  <c r="Z48" i="22"/>
  <c r="F34" i="39" l="1"/>
  <c r="G38" i="37" s="1"/>
  <c r="D27" i="39"/>
  <c r="E36" i="37" s="1"/>
  <c r="D34" i="39"/>
  <c r="E38" i="37" s="1"/>
  <c r="C22" i="39"/>
  <c r="P17" i="44"/>
  <c r="P18" i="44" s="1"/>
  <c r="I53" i="52"/>
  <c r="F33" i="54"/>
  <c r="I33" i="54" s="1"/>
  <c r="J33" i="54" s="1"/>
  <c r="N33" i="54" s="1"/>
  <c r="P33" i="54" s="1"/>
  <c r="S33" i="54" s="1"/>
  <c r="F27" i="54"/>
  <c r="I27" i="54" s="1"/>
  <c r="J27" i="54" s="1"/>
  <c r="M27" i="54" s="1"/>
  <c r="F36" i="54"/>
  <c r="I36" i="54" s="1"/>
  <c r="J36" i="54" s="1"/>
  <c r="M36" i="54" s="1"/>
  <c r="P36" i="54" s="1"/>
  <c r="S36" i="54" s="1"/>
  <c r="F5" i="50"/>
  <c r="J23" i="46"/>
  <c r="I212" i="49"/>
  <c r="K212" i="49" s="1"/>
  <c r="F41" i="49" s="1"/>
  <c r="I41" i="49" s="1"/>
  <c r="J41" i="49" s="1"/>
  <c r="J199" i="49"/>
  <c r="J212" i="49" s="1"/>
  <c r="J110" i="47"/>
  <c r="J123" i="47" s="1"/>
  <c r="L123" i="47" s="1"/>
  <c r="I123" i="47"/>
  <c r="K123" i="47" s="1"/>
  <c r="E51" i="47" s="1"/>
  <c r="I51" i="47" s="1"/>
  <c r="J86" i="47"/>
  <c r="J99" i="47" s="1"/>
  <c r="L99" i="47" s="1"/>
  <c r="I99" i="47"/>
  <c r="K99" i="47" s="1"/>
  <c r="E44" i="47" s="1"/>
  <c r="I44" i="47" s="1"/>
  <c r="Q28" i="47"/>
  <c r="R28" i="47" s="1"/>
  <c r="F26" i="51"/>
  <c r="I26" i="51" s="1"/>
  <c r="J26" i="51" s="1"/>
  <c r="F22" i="51"/>
  <c r="I22" i="51" s="1"/>
  <c r="J22" i="51" s="1"/>
  <c r="F23" i="51"/>
  <c r="I23" i="51" s="1"/>
  <c r="J23" i="51" s="1"/>
  <c r="L75" i="52"/>
  <c r="F23" i="52"/>
  <c r="I23" i="52" s="1"/>
  <c r="J23" i="52" s="1"/>
  <c r="J75" i="52"/>
  <c r="F40" i="49"/>
  <c r="I40" i="49" s="1"/>
  <c r="J40" i="49" s="1"/>
  <c r="F42" i="49"/>
  <c r="I42" i="49" s="1"/>
  <c r="J42" i="49" s="1"/>
  <c r="F20" i="48"/>
  <c r="I20" i="48" s="1"/>
  <c r="J20" i="48" s="1"/>
  <c r="F19" i="48"/>
  <c r="I19" i="48" s="1"/>
  <c r="F21" i="48"/>
  <c r="I21" i="48" s="1"/>
  <c r="J21" i="48" s="1"/>
  <c r="Q39" i="47"/>
  <c r="R39" i="47"/>
  <c r="S39" i="47" s="1"/>
  <c r="S39" i="50"/>
  <c r="S44" i="50" s="1"/>
  <c r="S49" i="50" s="1"/>
  <c r="P46" i="50"/>
  <c r="P44" i="50"/>
  <c r="J105" i="49"/>
  <c r="S38" i="47"/>
  <c r="Q22" i="47"/>
  <c r="R22" i="47" s="1"/>
  <c r="R22" i="48"/>
  <c r="Q22" i="48"/>
  <c r="I106" i="53"/>
  <c r="J93" i="53"/>
  <c r="J106" i="53" s="1"/>
  <c r="F37" i="54"/>
  <c r="I37" i="54" s="1"/>
  <c r="J37" i="54" s="1"/>
  <c r="F28" i="54"/>
  <c r="I28" i="54" s="1"/>
  <c r="J28" i="54" s="1"/>
  <c r="F34" i="54"/>
  <c r="I34" i="54" s="1"/>
  <c r="J34" i="54" s="1"/>
  <c r="F31" i="54"/>
  <c r="I31" i="54" s="1"/>
  <c r="J31" i="54" s="1"/>
  <c r="O27" i="52"/>
  <c r="G28" i="46" s="1"/>
  <c r="G29" i="46" s="1"/>
  <c r="H23" i="37" s="1"/>
  <c r="J98" i="49"/>
  <c r="I100" i="49"/>
  <c r="J100" i="49" s="1"/>
  <c r="Q49" i="50"/>
  <c r="E4" i="50"/>
  <c r="I24" i="46" s="1"/>
  <c r="J65" i="47"/>
  <c r="I66" i="47"/>
  <c r="I138" i="49"/>
  <c r="J137" i="49"/>
  <c r="I236" i="49"/>
  <c r="K236" i="49" s="1"/>
  <c r="Q23" i="47"/>
  <c r="R23" i="47" s="1"/>
  <c r="S25" i="47"/>
  <c r="Q58" i="47"/>
  <c r="J59" i="47"/>
  <c r="S37" i="47"/>
  <c r="S23" i="53"/>
  <c r="J113" i="51"/>
  <c r="I115" i="51"/>
  <c r="F27" i="51" s="1"/>
  <c r="I27" i="51" s="1"/>
  <c r="J27" i="51" s="1"/>
  <c r="Q21" i="52"/>
  <c r="J118" i="49"/>
  <c r="J131" i="49" s="1"/>
  <c r="I131" i="49"/>
  <c r="Q26" i="47"/>
  <c r="R26" i="47" s="1"/>
  <c r="Q24" i="47"/>
  <c r="R24" i="47" s="1"/>
  <c r="I60" i="51"/>
  <c r="L60" i="51" s="1"/>
  <c r="F24" i="51" s="1"/>
  <c r="I24" i="51" s="1"/>
  <c r="J24" i="51" s="1"/>
  <c r="J47" i="51"/>
  <c r="J60" i="51" s="1"/>
  <c r="S24" i="52"/>
  <c r="K16" i="55"/>
  <c r="R15" i="55"/>
  <c r="R16" i="55" s="1"/>
  <c r="N15" i="55"/>
  <c r="N16" i="55" s="1"/>
  <c r="E37" i="46" s="1"/>
  <c r="F46" i="37" s="1"/>
  <c r="M15" i="55"/>
  <c r="P15" i="55"/>
  <c r="P16" i="55" s="1"/>
  <c r="G37" i="46" s="1"/>
  <c r="H46" i="37" s="1"/>
  <c r="S15" i="55"/>
  <c r="S16" i="55" s="1"/>
  <c r="O15" i="55"/>
  <c r="O16" i="55" s="1"/>
  <c r="F37" i="46" s="1"/>
  <c r="G46" i="37" s="1"/>
  <c r="J53" i="52"/>
  <c r="H142" i="53"/>
  <c r="K139" i="53"/>
  <c r="K142" i="53" s="1"/>
  <c r="F26" i="53" s="1"/>
  <c r="I26" i="53" s="1"/>
  <c r="J26" i="53" s="1"/>
  <c r="I136" i="53"/>
  <c r="J65" i="54"/>
  <c r="J115" i="51"/>
  <c r="S30" i="50"/>
  <c r="S35" i="50" s="1"/>
  <c r="S48" i="50" s="1"/>
  <c r="Q35" i="50"/>
  <c r="F4" i="50"/>
  <c r="J24" i="46" s="1"/>
  <c r="R49" i="50"/>
  <c r="I260" i="49"/>
  <c r="K260" i="49" s="1"/>
  <c r="J247" i="49"/>
  <c r="J260" i="49" s="1"/>
  <c r="L260" i="49" s="1"/>
  <c r="J151" i="49"/>
  <c r="J164" i="49" s="1"/>
  <c r="I164" i="49"/>
  <c r="K164" i="49" s="1"/>
  <c r="N23" i="48"/>
  <c r="O23" i="48" s="1"/>
  <c r="M24" i="48"/>
  <c r="M29" i="48" s="1"/>
  <c r="E15" i="46" s="1"/>
  <c r="E16" i="46" s="1"/>
  <c r="F13" i="37" s="1"/>
  <c r="J236" i="49"/>
  <c r="S27" i="47"/>
  <c r="Q27" i="47"/>
  <c r="R27" i="47" s="1"/>
  <c r="H23" i="46"/>
  <c r="P29" i="47"/>
  <c r="O62" i="49"/>
  <c r="O68" i="49" s="1"/>
  <c r="G20" i="46" s="1"/>
  <c r="P56" i="49"/>
  <c r="S56" i="49" s="1"/>
  <c r="S21" i="47"/>
  <c r="M20" i="47"/>
  <c r="N20" i="47" s="1"/>
  <c r="O20" i="47" s="1"/>
  <c r="L30" i="47"/>
  <c r="P20" i="47"/>
  <c r="I28" i="20"/>
  <c r="U31" i="26"/>
  <c r="V30" i="26"/>
  <c r="O39" i="26"/>
  <c r="I59" i="21"/>
  <c r="H67" i="21"/>
  <c r="I67" i="21" s="1"/>
  <c r="O35" i="23"/>
  <c r="Z35" i="23" s="1"/>
  <c r="M36" i="23"/>
  <c r="M51" i="23" s="1"/>
  <c r="U20" i="42"/>
  <c r="K47" i="26"/>
  <c r="C32" i="24"/>
  <c r="B31" i="24"/>
  <c r="M50" i="22"/>
  <c r="O50" i="22" s="1"/>
  <c r="P50" i="22"/>
  <c r="T50" i="22" s="1"/>
  <c r="R50" i="22"/>
  <c r="F3" i="25"/>
  <c r="V64" i="21"/>
  <c r="W64" i="21" s="1"/>
  <c r="X64" i="21" s="1"/>
  <c r="Y64" i="21"/>
  <c r="Y36" i="23"/>
  <c r="Z31" i="23"/>
  <c r="D73" i="21"/>
  <c r="H73" i="21" s="1"/>
  <c r="H109" i="21"/>
  <c r="I108" i="21"/>
  <c r="I109" i="21" s="1"/>
  <c r="N34" i="24"/>
  <c r="O34" i="24" s="1"/>
  <c r="S34" i="24"/>
  <c r="T34" i="24" s="1"/>
  <c r="X34" i="24"/>
  <c r="Y34" i="24" s="1"/>
  <c r="O72" i="21"/>
  <c r="Z72" i="21" s="1"/>
  <c r="Z60" i="21"/>
  <c r="W50" i="22"/>
  <c r="I52" i="21"/>
  <c r="B29" i="25"/>
  <c r="Z27" i="26"/>
  <c r="D20" i="20"/>
  <c r="D22" i="20" s="1"/>
  <c r="E19" i="37" s="1"/>
  <c r="K53" i="23"/>
  <c r="T76" i="21"/>
  <c r="Z76" i="21" s="1"/>
  <c r="Y63" i="21"/>
  <c r="Z63" i="21" s="1"/>
  <c r="V63" i="21"/>
  <c r="W63" i="21" s="1"/>
  <c r="X63" i="21" s="1"/>
  <c r="T61" i="21"/>
  <c r="Z61" i="21" s="1"/>
  <c r="K64" i="25"/>
  <c r="O25" i="25"/>
  <c r="K28" i="25"/>
  <c r="K41" i="25" s="1"/>
  <c r="M79" i="21"/>
  <c r="O79" i="21" s="1"/>
  <c r="Q79" i="21"/>
  <c r="W79" i="21"/>
  <c r="W80" i="21" s="1"/>
  <c r="W89" i="21" s="1"/>
  <c r="V34" i="25"/>
  <c r="W34" i="25" s="1"/>
  <c r="X34" i="25" s="1"/>
  <c r="Y34" i="25"/>
  <c r="N85" i="26"/>
  <c r="P30" i="26" s="1"/>
  <c r="T41" i="25"/>
  <c r="Z30" i="25"/>
  <c r="D25" i="20"/>
  <c r="D26" i="20" s="1"/>
  <c r="E26" i="37" s="1"/>
  <c r="K45" i="24"/>
  <c r="V78" i="21"/>
  <c r="Y78" i="21" s="1"/>
  <c r="D50" i="25"/>
  <c r="O28" i="24"/>
  <c r="Z28" i="24" s="1"/>
  <c r="N30" i="24"/>
  <c r="N43" i="24" s="1"/>
  <c r="I150" i="23"/>
  <c r="J150" i="23" s="1"/>
  <c r="J152" i="23" s="1"/>
  <c r="J144" i="23"/>
  <c r="P76" i="26"/>
  <c r="J79" i="23"/>
  <c r="B23" i="24"/>
  <c r="J75" i="26"/>
  <c r="J76" i="26" s="1"/>
  <c r="F28" i="20"/>
  <c r="Y36" i="26"/>
  <c r="Y39" i="26" s="1"/>
  <c r="U39" i="26"/>
  <c r="U46" i="26" s="1"/>
  <c r="Y29" i="26"/>
  <c r="Y64" i="22"/>
  <c r="R51" i="22"/>
  <c r="R70" i="22" s="1"/>
  <c r="E27" i="37"/>
  <c r="L67" i="21"/>
  <c r="L88" i="21" s="1"/>
  <c r="E12" i="20" s="1"/>
  <c r="O57" i="21"/>
  <c r="D14" i="20"/>
  <c r="E11" i="37" s="1"/>
  <c r="Y47" i="22"/>
  <c r="T36" i="26"/>
  <c r="P29" i="24"/>
  <c r="X29" i="24"/>
  <c r="R66" i="21"/>
  <c r="S66" i="21"/>
  <c r="Q66" i="21"/>
  <c r="T66" i="21" s="1"/>
  <c r="V66" i="21"/>
  <c r="L66" i="21"/>
  <c r="T43" i="23"/>
  <c r="Z43" i="23" s="1"/>
  <c r="O37" i="26"/>
  <c r="Z37" i="26" s="1"/>
  <c r="N39" i="26"/>
  <c r="N46" i="26" s="1"/>
  <c r="G33" i="20" s="1"/>
  <c r="M29" i="26"/>
  <c r="R29" i="26"/>
  <c r="W29" i="26"/>
  <c r="K65" i="25"/>
  <c r="O27" i="25"/>
  <c r="Z27" i="25" s="1"/>
  <c r="L28" i="25"/>
  <c r="L41" i="25" s="1"/>
  <c r="L33" i="24"/>
  <c r="I152" i="23"/>
  <c r="K152" i="23" s="1"/>
  <c r="L152" i="23" s="1"/>
  <c r="M44" i="22"/>
  <c r="L44" i="22"/>
  <c r="S44" i="22"/>
  <c r="S51" i="22" s="1"/>
  <c r="S70" i="22" s="1"/>
  <c r="S72" i="22" s="1"/>
  <c r="N44" i="22"/>
  <c r="P44" i="22"/>
  <c r="Q44" i="22"/>
  <c r="Q51" i="22" s="1"/>
  <c r="Q70" i="22" s="1"/>
  <c r="Q72" i="22" s="1"/>
  <c r="O41" i="22"/>
  <c r="K51" i="22"/>
  <c r="K70" i="22" s="1"/>
  <c r="P31" i="26"/>
  <c r="T34" i="25"/>
  <c r="Z34" i="25" s="1"/>
  <c r="T62" i="22"/>
  <c r="Z62" i="22" s="1"/>
  <c r="N78" i="21"/>
  <c r="N80" i="21" s="1"/>
  <c r="N89" i="21" s="1"/>
  <c r="G13" i="20" s="1"/>
  <c r="M78" i="21"/>
  <c r="O78" i="21" s="1"/>
  <c r="P78" i="21"/>
  <c r="T78" i="21" s="1"/>
  <c r="N75" i="21"/>
  <c r="M75" i="21"/>
  <c r="P75" i="21"/>
  <c r="Q75" i="21"/>
  <c r="Q80" i="21" s="1"/>
  <c r="Q89" i="21" s="1"/>
  <c r="L49" i="21"/>
  <c r="N49" i="21"/>
  <c r="N52" i="21" s="1"/>
  <c r="N87" i="21" s="1"/>
  <c r="K46" i="22"/>
  <c r="M46" i="22"/>
  <c r="L46" i="22"/>
  <c r="N46" i="22"/>
  <c r="R46" i="22"/>
  <c r="S46" i="22"/>
  <c r="T46" i="22" s="1"/>
  <c r="V46" i="22"/>
  <c r="W46" i="22"/>
  <c r="T52" i="21"/>
  <c r="T87" i="21" s="1"/>
  <c r="K66" i="25"/>
  <c r="K69" i="25"/>
  <c r="P65" i="21"/>
  <c r="Q65" i="21"/>
  <c r="R65" i="21" s="1"/>
  <c r="S65" i="21" s="1"/>
  <c r="U65" i="21" s="1"/>
  <c r="I77" i="23"/>
  <c r="I79" i="23" s="1"/>
  <c r="K79" i="23" s="1"/>
  <c r="I125" i="23"/>
  <c r="M33" i="40"/>
  <c r="Q33" i="40"/>
  <c r="P28" i="41"/>
  <c r="L28" i="41"/>
  <c r="K30" i="41"/>
  <c r="K45" i="41" s="1"/>
  <c r="M17" i="44"/>
  <c r="L18" i="44"/>
  <c r="E29" i="39" s="1"/>
  <c r="E30" i="39" s="1"/>
  <c r="F37" i="37" s="1"/>
  <c r="I101" i="23"/>
  <c r="J101" i="23" s="1"/>
  <c r="J103" i="23" s="1"/>
  <c r="M47" i="22"/>
  <c r="O47" i="22" s="1"/>
  <c r="Z47" i="22" s="1"/>
  <c r="N47" i="22"/>
  <c r="P47" i="22"/>
  <c r="T47" i="22" s="1"/>
  <c r="R47" i="22"/>
  <c r="N45" i="22"/>
  <c r="L45" i="22"/>
  <c r="O45" i="22" s="1"/>
  <c r="Z45" i="22" s="1"/>
  <c r="M45" i="22"/>
  <c r="R45" i="22"/>
  <c r="S45" i="22"/>
  <c r="T45" i="22" s="1"/>
  <c r="N61" i="22"/>
  <c r="O61" i="22" s="1"/>
  <c r="R61" i="22"/>
  <c r="S61" i="22"/>
  <c r="S64" i="22" s="1"/>
  <c r="S71" i="22" s="1"/>
  <c r="Y45" i="40"/>
  <c r="Y38" i="40"/>
  <c r="K83" i="26"/>
  <c r="O30" i="24"/>
  <c r="O74" i="21"/>
  <c r="Z74" i="21" s="1"/>
  <c r="O58" i="21"/>
  <c r="Z58" i="21" s="1"/>
  <c r="O29" i="43"/>
  <c r="R29" i="43"/>
  <c r="M30" i="43"/>
  <c r="M38" i="43" s="1"/>
  <c r="F26" i="39" s="1"/>
  <c r="K67" i="25"/>
  <c r="D52" i="25" s="1"/>
  <c r="D33" i="25" s="1"/>
  <c r="H33" i="25" s="1"/>
  <c r="I33" i="25" s="1"/>
  <c r="M33" i="25" s="1"/>
  <c r="O64" i="21"/>
  <c r="Z64" i="21" s="1"/>
  <c r="M50" i="21"/>
  <c r="M52" i="21" s="1"/>
  <c r="M87" i="21" s="1"/>
  <c r="N50" i="21"/>
  <c r="L50" i="21"/>
  <c r="Z59" i="40"/>
  <c r="D8" i="40"/>
  <c r="L29" i="41"/>
  <c r="P29" i="41"/>
  <c r="L27" i="41"/>
  <c r="P27" i="41"/>
  <c r="L34" i="40"/>
  <c r="P34" i="40"/>
  <c r="E80" i="40"/>
  <c r="L37" i="41"/>
  <c r="M37" i="41" s="1"/>
  <c r="N37" i="41" s="1"/>
  <c r="P37" i="41"/>
  <c r="D23" i="39"/>
  <c r="E35" i="37" s="1"/>
  <c r="L20" i="42"/>
  <c r="G49" i="43"/>
  <c r="D23" i="43" s="1"/>
  <c r="H23" i="43" s="1"/>
  <c r="I23" i="43" s="1"/>
  <c r="M23" i="43" s="1"/>
  <c r="W13" i="45"/>
  <c r="V13" i="45"/>
  <c r="L58" i="22"/>
  <c r="P58" i="22"/>
  <c r="N58" i="22"/>
  <c r="R58" i="22"/>
  <c r="R64" i="22" s="1"/>
  <c r="R71" i="22" s="1"/>
  <c r="L35" i="40"/>
  <c r="P35" i="40"/>
  <c r="K36" i="40"/>
  <c r="K56" i="40" s="1"/>
  <c r="L36" i="41"/>
  <c r="M36" i="41" s="1"/>
  <c r="N36" i="41" s="1"/>
  <c r="N38" i="41" s="1"/>
  <c r="N46" i="41" s="1"/>
  <c r="G18" i="39" s="1"/>
  <c r="P36" i="41"/>
  <c r="L35" i="41"/>
  <c r="L38" i="41" s="1"/>
  <c r="L46" i="41" s="1"/>
  <c r="E18" i="39" s="1"/>
  <c r="P35" i="41"/>
  <c r="K38" i="41"/>
  <c r="K46" i="41" s="1"/>
  <c r="D18" i="39" s="1"/>
  <c r="M35" i="41"/>
  <c r="I92" i="40"/>
  <c r="L39" i="43"/>
  <c r="I116" i="40"/>
  <c r="I129" i="40" s="1"/>
  <c r="K129" i="40" s="1"/>
  <c r="D49" i="40" s="1"/>
  <c r="H49" i="40" s="1"/>
  <c r="I49" i="40" s="1"/>
  <c r="X39" i="43"/>
  <c r="U22" i="45"/>
  <c r="J35" i="45"/>
  <c r="J48" i="45" s="1"/>
  <c r="N11" i="27"/>
  <c r="O10" i="27"/>
  <c r="U17" i="44"/>
  <c r="J32" i="45"/>
  <c r="I35" i="45"/>
  <c r="I48" i="45" s="1"/>
  <c r="K48" i="45" s="1"/>
  <c r="W21" i="45"/>
  <c r="W22" i="45" s="1"/>
  <c r="R22" i="45"/>
  <c r="M11" i="27"/>
  <c r="K18" i="44"/>
  <c r="D29" i="39" s="1"/>
  <c r="D30" i="39" s="1"/>
  <c r="E37" i="37" s="1"/>
  <c r="M16" i="27"/>
  <c r="N13" i="27"/>
  <c r="N4" i="27"/>
  <c r="M6" i="27"/>
  <c r="Q17" i="44" l="1"/>
  <c r="R17" i="44" s="1"/>
  <c r="F50" i="49"/>
  <c r="I50" i="49" s="1"/>
  <c r="J50" i="49" s="1"/>
  <c r="F39" i="49"/>
  <c r="I39" i="49" s="1"/>
  <c r="J39" i="49" s="1"/>
  <c r="R39" i="49" s="1"/>
  <c r="S39" i="49" s="1"/>
  <c r="F47" i="49"/>
  <c r="I47" i="49" s="1"/>
  <c r="J47" i="49" s="1"/>
  <c r="O47" i="49" s="1"/>
  <c r="F55" i="49"/>
  <c r="I55" i="49" s="1"/>
  <c r="J55" i="49" s="1"/>
  <c r="N55" i="49" s="1"/>
  <c r="Q26" i="53"/>
  <c r="M26" i="53"/>
  <c r="R26" i="53"/>
  <c r="R31" i="53" s="1"/>
  <c r="F3" i="53" s="1"/>
  <c r="F4" i="53" s="1"/>
  <c r="J30" i="46" s="1"/>
  <c r="J31" i="46" s="1"/>
  <c r="Q27" i="51"/>
  <c r="R27" i="51"/>
  <c r="J138" i="49"/>
  <c r="I140" i="49"/>
  <c r="O37" i="54"/>
  <c r="N37" i="54"/>
  <c r="M37" i="54"/>
  <c r="Q37" i="54"/>
  <c r="R21" i="48"/>
  <c r="Q21" i="48"/>
  <c r="S21" i="48" s="1"/>
  <c r="R40" i="49"/>
  <c r="Q40" i="49"/>
  <c r="O40" i="49"/>
  <c r="R23" i="51"/>
  <c r="Q23" i="51"/>
  <c r="R41" i="49"/>
  <c r="Q41" i="49"/>
  <c r="M39" i="54"/>
  <c r="E32" i="46" s="1"/>
  <c r="E33" i="46" s="1"/>
  <c r="P27" i="54"/>
  <c r="Q20" i="47"/>
  <c r="P30" i="47"/>
  <c r="F3" i="55"/>
  <c r="F4" i="55" s="1"/>
  <c r="J37" i="46"/>
  <c r="K46" i="37" s="1"/>
  <c r="E3" i="55"/>
  <c r="E4" i="55" s="1"/>
  <c r="I37" i="46"/>
  <c r="J46" i="37" s="1"/>
  <c r="S26" i="47"/>
  <c r="S23" i="47"/>
  <c r="O31" i="54"/>
  <c r="P31" i="54" s="1"/>
  <c r="R31" i="54"/>
  <c r="R39" i="54" s="1"/>
  <c r="F3" i="54" s="1"/>
  <c r="F4" i="54" s="1"/>
  <c r="J32" i="46" s="1"/>
  <c r="J33" i="46" s="1"/>
  <c r="Q31" i="54"/>
  <c r="S22" i="47"/>
  <c r="I107" i="49"/>
  <c r="I24" i="48"/>
  <c r="J19" i="48"/>
  <c r="O22" i="51"/>
  <c r="O30" i="51" s="1"/>
  <c r="O34" i="51" s="1"/>
  <c r="G26" i="46" s="1"/>
  <c r="G27" i="46" s="1"/>
  <c r="N22" i="51"/>
  <c r="J51" i="47"/>
  <c r="I52" i="47"/>
  <c r="J25" i="46"/>
  <c r="L70" i="47"/>
  <c r="D11" i="46" s="1"/>
  <c r="D13" i="46" s="1"/>
  <c r="M30" i="47"/>
  <c r="E3" i="50"/>
  <c r="Q48" i="50"/>
  <c r="Q24" i="51"/>
  <c r="R24" i="51"/>
  <c r="Q59" i="47"/>
  <c r="S58" i="47"/>
  <c r="F48" i="49"/>
  <c r="I48" i="49" s="1"/>
  <c r="J48" i="49" s="1"/>
  <c r="F59" i="49"/>
  <c r="I59" i="49" s="1"/>
  <c r="J59" i="49" s="1"/>
  <c r="F57" i="49"/>
  <c r="I57" i="49" s="1"/>
  <c r="J57" i="49" s="1"/>
  <c r="Q57" i="49" s="1"/>
  <c r="Q65" i="47"/>
  <c r="Q66" i="47" s="1"/>
  <c r="J66" i="47"/>
  <c r="O65" i="47"/>
  <c r="O34" i="54"/>
  <c r="Q34" i="54"/>
  <c r="M34" i="54"/>
  <c r="N34" i="54"/>
  <c r="P49" i="50"/>
  <c r="D4" i="50"/>
  <c r="O20" i="48"/>
  <c r="P20" i="48" s="1"/>
  <c r="Q20" i="48"/>
  <c r="N23" i="52"/>
  <c r="M23" i="52"/>
  <c r="O26" i="51"/>
  <c r="N26" i="51"/>
  <c r="P26" i="51" s="1"/>
  <c r="F26" i="52"/>
  <c r="I26" i="52" s="1"/>
  <c r="J26" i="52" s="1"/>
  <c r="F25" i="52"/>
  <c r="I25" i="52" s="1"/>
  <c r="J25" i="52" s="1"/>
  <c r="Q29" i="47"/>
  <c r="R29" i="47" s="1"/>
  <c r="F28" i="53"/>
  <c r="I28" i="53" s="1"/>
  <c r="J28" i="53" s="1"/>
  <c r="Q28" i="53" s="1"/>
  <c r="S28" i="53" s="1"/>
  <c r="F24" i="53"/>
  <c r="I24" i="53" s="1"/>
  <c r="J24" i="53" s="1"/>
  <c r="Q15" i="55"/>
  <c r="M16" i="55"/>
  <c r="D37" i="46" s="1"/>
  <c r="E46" i="37" s="1"/>
  <c r="S24" i="47"/>
  <c r="R21" i="52"/>
  <c r="Q28" i="54"/>
  <c r="N28" i="54"/>
  <c r="O28" i="54"/>
  <c r="O39" i="54" s="1"/>
  <c r="G32" i="46" s="1"/>
  <c r="G33" i="46" s="1"/>
  <c r="S22" i="48"/>
  <c r="R42" i="49"/>
  <c r="Q42" i="49"/>
  <c r="S28" i="47"/>
  <c r="I45" i="47"/>
  <c r="J44" i="47"/>
  <c r="P23" i="48"/>
  <c r="F11" i="20"/>
  <c r="O33" i="40"/>
  <c r="F4" i="26"/>
  <c r="J33" i="20" s="1"/>
  <c r="Y46" i="26"/>
  <c r="D39" i="23"/>
  <c r="H39" i="23" s="1"/>
  <c r="I39" i="23" s="1"/>
  <c r="D33" i="23"/>
  <c r="H33" i="23" s="1"/>
  <c r="I33" i="23" s="1"/>
  <c r="L33" i="23" s="1"/>
  <c r="J92" i="40"/>
  <c r="J105" i="40" s="1"/>
  <c r="I105" i="40"/>
  <c r="K105" i="40" s="1"/>
  <c r="D48" i="40" s="1"/>
  <c r="H48" i="40" s="1"/>
  <c r="M35" i="40"/>
  <c r="Q35" i="40"/>
  <c r="V35" i="40" s="1"/>
  <c r="O58" i="22"/>
  <c r="L64" i="22"/>
  <c r="L71" i="22" s="1"/>
  <c r="E17" i="20" s="1"/>
  <c r="T29" i="43"/>
  <c r="T30" i="43" s="1"/>
  <c r="W29" i="43"/>
  <c r="R30" i="43"/>
  <c r="R38" i="43" s="1"/>
  <c r="L83" i="26"/>
  <c r="K85" i="26"/>
  <c r="V33" i="40"/>
  <c r="G11" i="20"/>
  <c r="O35" i="41"/>
  <c r="O4" i="27"/>
  <c r="O6" i="27" s="1"/>
  <c r="O17" i="27" s="1"/>
  <c r="J37" i="20" s="1"/>
  <c r="N6" i="27"/>
  <c r="P4" i="27"/>
  <c r="P6" i="27" s="1"/>
  <c r="P17" i="27" s="1"/>
  <c r="K37" i="20" s="1"/>
  <c r="D20" i="45"/>
  <c r="H20" i="45" s="1"/>
  <c r="I20" i="45" s="1"/>
  <c r="L20" i="45" s="1"/>
  <c r="D21" i="45"/>
  <c r="H21" i="45" s="1"/>
  <c r="I21" i="45" s="1"/>
  <c r="L21" i="45" s="1"/>
  <c r="U18" i="44"/>
  <c r="P49" i="40"/>
  <c r="U49" i="40"/>
  <c r="R49" i="40"/>
  <c r="W49" i="40" s="1"/>
  <c r="W50" i="40" s="1"/>
  <c r="W58" i="40" s="1"/>
  <c r="M49" i="40"/>
  <c r="S49" i="40"/>
  <c r="S50" i="40" s="1"/>
  <c r="S58" i="40" s="1"/>
  <c r="Q36" i="41"/>
  <c r="R36" i="41" s="1"/>
  <c r="S36" i="41" s="1"/>
  <c r="U36" i="41"/>
  <c r="T36" i="41"/>
  <c r="N64" i="22"/>
  <c r="N71" i="22" s="1"/>
  <c r="G17" i="20" s="1"/>
  <c r="M20" i="42"/>
  <c r="Q20" i="42"/>
  <c r="E23" i="39"/>
  <c r="F35" i="37" s="1"/>
  <c r="O37" i="41"/>
  <c r="U34" i="40"/>
  <c r="P36" i="40"/>
  <c r="P56" i="40" s="1"/>
  <c r="G8" i="40"/>
  <c r="K14" i="39" s="1"/>
  <c r="H14" i="39"/>
  <c r="O50" i="21"/>
  <c r="Z50" i="21" s="1"/>
  <c r="N33" i="25"/>
  <c r="P33" i="25" s="1"/>
  <c r="O33" i="25"/>
  <c r="N17" i="44"/>
  <c r="M18" i="44"/>
  <c r="F29" i="39" s="1"/>
  <c r="F30" i="39" s="1"/>
  <c r="G37" i="37" s="1"/>
  <c r="T65" i="21"/>
  <c r="O75" i="21"/>
  <c r="Z75" i="21" s="1"/>
  <c r="M80" i="21"/>
  <c r="M89" i="21" s="1"/>
  <c r="F13" i="20" s="1"/>
  <c r="P45" i="26"/>
  <c r="P47" i="26" s="1"/>
  <c r="O44" i="22"/>
  <c r="L51" i="22"/>
  <c r="L70" i="22" s="1"/>
  <c r="P30" i="24"/>
  <c r="P43" i="24" s="1"/>
  <c r="T29" i="24"/>
  <c r="G24" i="20"/>
  <c r="I73" i="21"/>
  <c r="H80" i="21"/>
  <c r="I80" i="21" s="1"/>
  <c r="Z50" i="22"/>
  <c r="N16" i="27"/>
  <c r="O13" i="27"/>
  <c r="O16" i="27" s="1"/>
  <c r="P13" i="27"/>
  <c r="P16" i="27" s="1"/>
  <c r="V17" i="44"/>
  <c r="V18" i="44" s="1"/>
  <c r="Q18" i="44"/>
  <c r="Q35" i="41"/>
  <c r="P38" i="41"/>
  <c r="P46" i="41" s="1"/>
  <c r="U35" i="41"/>
  <c r="O36" i="41"/>
  <c r="U35" i="40"/>
  <c r="T58" i="22"/>
  <c r="P64" i="22"/>
  <c r="P71" i="22" s="1"/>
  <c r="D41" i="40"/>
  <c r="H41" i="40" s="1"/>
  <c r="I41" i="40" s="1"/>
  <c r="E81" i="40"/>
  <c r="Q34" i="40"/>
  <c r="V34" i="40" s="1"/>
  <c r="M34" i="40"/>
  <c r="U29" i="41"/>
  <c r="D3" i="24"/>
  <c r="O43" i="24"/>
  <c r="K47" i="41"/>
  <c r="D17" i="39"/>
  <c r="D19" i="39" s="1"/>
  <c r="E34" i="37" s="1"/>
  <c r="E39" i="37" s="1"/>
  <c r="L36" i="40"/>
  <c r="L56" i="40" s="1"/>
  <c r="I127" i="23"/>
  <c r="K127" i="23" s="1"/>
  <c r="L127" i="23" s="1"/>
  <c r="D41" i="23" s="1"/>
  <c r="H41" i="23" s="1"/>
  <c r="I41" i="23" s="1"/>
  <c r="J125" i="23"/>
  <c r="J127" i="23" s="1"/>
  <c r="O46" i="22"/>
  <c r="Z46" i="22" s="1"/>
  <c r="T44" i="22"/>
  <c r="T51" i="22" s="1"/>
  <c r="P51" i="22"/>
  <c r="P70" i="22" s="1"/>
  <c r="M51" i="22"/>
  <c r="M70" i="22" s="1"/>
  <c r="M33" i="24"/>
  <c r="L37" i="24"/>
  <c r="L44" i="24" s="1"/>
  <c r="T39" i="26"/>
  <c r="Z36" i="26"/>
  <c r="Z39" i="26" s="1"/>
  <c r="Z46" i="26" s="1"/>
  <c r="I103" i="23"/>
  <c r="K103" i="23" s="1"/>
  <c r="L103" i="23" s="1"/>
  <c r="D40" i="23" s="1"/>
  <c r="H40" i="23" s="1"/>
  <c r="I40" i="23" s="1"/>
  <c r="M40" i="23" s="1"/>
  <c r="O40" i="23" s="1"/>
  <c r="Z40" i="23" s="1"/>
  <c r="D28" i="20"/>
  <c r="D30" i="20" s="1"/>
  <c r="E30" i="37" s="1"/>
  <c r="K43" i="25"/>
  <c r="J28" i="20"/>
  <c r="M59" i="21"/>
  <c r="N59" i="21"/>
  <c r="N67" i="21" s="1"/>
  <c r="N88" i="21" s="1"/>
  <c r="G12" i="20" s="1"/>
  <c r="P59" i="21"/>
  <c r="Q59" i="21"/>
  <c r="V31" i="26"/>
  <c r="V45" i="26" s="1"/>
  <c r="V47" i="26" s="1"/>
  <c r="W30" i="26"/>
  <c r="D16" i="20"/>
  <c r="D18" i="20" s="1"/>
  <c r="E18" i="37" s="1"/>
  <c r="E20" i="37" s="1"/>
  <c r="K72" i="22"/>
  <c r="N51" i="22"/>
  <c r="N70" i="22" s="1"/>
  <c r="L43" i="25"/>
  <c r="E28" i="20"/>
  <c r="E30" i="20" s="1"/>
  <c r="F30" i="37" s="1"/>
  <c r="T29" i="26"/>
  <c r="W66" i="21"/>
  <c r="X66" i="21" s="1"/>
  <c r="Z57" i="21"/>
  <c r="R72" i="22"/>
  <c r="Y71" i="22"/>
  <c r="F4" i="22"/>
  <c r="J17" i="20" s="1"/>
  <c r="D31" i="25"/>
  <c r="H31" i="25" s="1"/>
  <c r="I31" i="25" s="1"/>
  <c r="M31" i="25" s="1"/>
  <c r="Q30" i="26"/>
  <c r="O28" i="25"/>
  <c r="Z25" i="25"/>
  <c r="Z28" i="25" s="1"/>
  <c r="Z41" i="25" s="1"/>
  <c r="Z34" i="24"/>
  <c r="F3" i="23"/>
  <c r="Y51" i="23"/>
  <c r="F20" i="20"/>
  <c r="D4" i="26"/>
  <c r="O46" i="26"/>
  <c r="U45" i="26"/>
  <c r="U47" i="26" s="1"/>
  <c r="O11" i="27"/>
  <c r="P10" i="27"/>
  <c r="P11" i="27" s="1"/>
  <c r="O23" i="43"/>
  <c r="R23" i="43"/>
  <c r="M24" i="43"/>
  <c r="M37" i="43" s="1"/>
  <c r="U37" i="41"/>
  <c r="Q37" i="41"/>
  <c r="U27" i="41"/>
  <c r="P30" i="41"/>
  <c r="P45" i="41" s="1"/>
  <c r="M29" i="41"/>
  <c r="Q29" i="41"/>
  <c r="V29" i="41" s="1"/>
  <c r="M28" i="41"/>
  <c r="Q28" i="41"/>
  <c r="V28" i="41" s="1"/>
  <c r="W51" i="22"/>
  <c r="W70" i="22" s="1"/>
  <c r="W72" i="22" s="1"/>
  <c r="X46" i="22"/>
  <c r="X51" i="22" s="1"/>
  <c r="X70" i="22" s="1"/>
  <c r="X72" i="22" s="1"/>
  <c r="E16" i="37"/>
  <c r="M17" i="27"/>
  <c r="H37" i="20" s="1"/>
  <c r="M38" i="41"/>
  <c r="M46" i="41" s="1"/>
  <c r="F18" i="39" s="1"/>
  <c r="D11" i="39"/>
  <c r="M27" i="41"/>
  <c r="L30" i="41"/>
  <c r="L45" i="41" s="1"/>
  <c r="Q27" i="41"/>
  <c r="O30" i="43"/>
  <c r="P4" i="43"/>
  <c r="U28" i="41"/>
  <c r="N33" i="40"/>
  <c r="R33" i="40"/>
  <c r="V65" i="21"/>
  <c r="W65" i="21" s="1"/>
  <c r="X65" i="21" s="1"/>
  <c r="E5" i="21"/>
  <c r="V51" i="22"/>
  <c r="V70" i="22" s="1"/>
  <c r="V72" i="22" s="1"/>
  <c r="Y46" i="22"/>
  <c r="Y51" i="22" s="1"/>
  <c r="L52" i="21"/>
  <c r="O49" i="21"/>
  <c r="Z49" i="21" s="1"/>
  <c r="T75" i="21"/>
  <c r="Z78" i="21"/>
  <c r="Z41" i="22"/>
  <c r="D42" i="23"/>
  <c r="H42" i="23" s="1"/>
  <c r="I42" i="23" s="1"/>
  <c r="D44" i="23"/>
  <c r="H44" i="23" s="1"/>
  <c r="I44" i="23" s="1"/>
  <c r="O29" i="26"/>
  <c r="Y29" i="24"/>
  <c r="Y30" i="24" s="1"/>
  <c r="X30" i="24"/>
  <c r="X43" i="24" s="1"/>
  <c r="R79" i="21"/>
  <c r="S79" i="21" s="1"/>
  <c r="U79" i="21" s="1"/>
  <c r="D51" i="25"/>
  <c r="D32" i="25" s="1"/>
  <c r="H32" i="25" s="1"/>
  <c r="I32" i="25" s="1"/>
  <c r="M32" i="25" s="1"/>
  <c r="K71" i="25"/>
  <c r="T61" i="22"/>
  <c r="Z61" i="22" s="1"/>
  <c r="N24" i="53" l="1"/>
  <c r="Q24" i="53"/>
  <c r="Q31" i="53" s="1"/>
  <c r="E3" i="53" s="1"/>
  <c r="E4" i="53" s="1"/>
  <c r="I30" i="46" s="1"/>
  <c r="I31" i="46" s="1"/>
  <c r="Q25" i="52"/>
  <c r="N25" i="52"/>
  <c r="P25" i="52" s="1"/>
  <c r="S25" i="52" s="1"/>
  <c r="R25" i="52"/>
  <c r="P23" i="52"/>
  <c r="M27" i="52"/>
  <c r="E28" i="46" s="1"/>
  <c r="E29" i="46" s="1"/>
  <c r="F23" i="37" s="1"/>
  <c r="G4" i="50"/>
  <c r="K24" i="46" s="1"/>
  <c r="H24" i="46"/>
  <c r="H25" i="46" s="1"/>
  <c r="D5" i="50"/>
  <c r="Q30" i="47"/>
  <c r="R20" i="47"/>
  <c r="R30" i="47" s="1"/>
  <c r="F38" i="49"/>
  <c r="I38" i="49" s="1"/>
  <c r="J38" i="49" s="1"/>
  <c r="R38" i="49" s="1"/>
  <c r="S38" i="49" s="1"/>
  <c r="K140" i="49"/>
  <c r="J140" i="49"/>
  <c r="L140" i="49" s="1"/>
  <c r="O51" i="49"/>
  <c r="O67" i="49" s="1"/>
  <c r="G19" i="46" s="1"/>
  <c r="P47" i="49"/>
  <c r="Q23" i="48"/>
  <c r="R23" i="48" s="1"/>
  <c r="S23" i="48"/>
  <c r="S42" i="49"/>
  <c r="P28" i="54"/>
  <c r="S28" i="54" s="1"/>
  <c r="N39" i="54"/>
  <c r="F32" i="46" s="1"/>
  <c r="F33" i="46" s="1"/>
  <c r="Q26" i="52"/>
  <c r="R26" i="52"/>
  <c r="R27" i="52" s="1"/>
  <c r="F3" i="52" s="1"/>
  <c r="F4" i="52" s="1"/>
  <c r="J28" i="46" s="1"/>
  <c r="J29" i="46" s="1"/>
  <c r="K23" i="37" s="1"/>
  <c r="S57" i="49"/>
  <c r="Q71" i="47"/>
  <c r="S59" i="47"/>
  <c r="E4" i="47"/>
  <c r="I12" i="46" s="1"/>
  <c r="E5" i="50"/>
  <c r="I23" i="46"/>
  <c r="I25" i="46" s="1"/>
  <c r="G3" i="50"/>
  <c r="O19" i="48"/>
  <c r="O24" i="48" s="1"/>
  <c r="O29" i="48" s="1"/>
  <c r="G15" i="46" s="1"/>
  <c r="G16" i="46" s="1"/>
  <c r="H13" i="37" s="1"/>
  <c r="J24" i="48"/>
  <c r="N19" i="48"/>
  <c r="Q19" i="48"/>
  <c r="Q24" i="48" s="1"/>
  <c r="S27" i="54"/>
  <c r="P39" i="54"/>
  <c r="D3" i="54" s="1"/>
  <c r="S23" i="51"/>
  <c r="Q30" i="51"/>
  <c r="P37" i="54"/>
  <c r="S37" i="54" s="1"/>
  <c r="N26" i="53"/>
  <c r="P26" i="53" s="1"/>
  <c r="S26" i="53" s="1"/>
  <c r="M31" i="53"/>
  <c r="E30" i="46" s="1"/>
  <c r="E31" i="46" s="1"/>
  <c r="O26" i="53"/>
  <c r="O31" i="53" s="1"/>
  <c r="G30" i="46" s="1"/>
  <c r="G31" i="46" s="1"/>
  <c r="S21" i="52"/>
  <c r="J45" i="47"/>
  <c r="O44" i="47"/>
  <c r="R44" i="47"/>
  <c r="R45" i="47" s="1"/>
  <c r="Q44" i="47"/>
  <c r="Q45" i="47" s="1"/>
  <c r="Q39" i="54"/>
  <c r="E3" i="54" s="1"/>
  <c r="E4" i="54" s="1"/>
  <c r="I32" i="46" s="1"/>
  <c r="I33" i="46" s="1"/>
  <c r="P32" i="51"/>
  <c r="S26" i="51"/>
  <c r="O66" i="47"/>
  <c r="P66" i="47" s="1"/>
  <c r="S66" i="47" s="1"/>
  <c r="P65" i="47"/>
  <c r="S65" i="47" s="1"/>
  <c r="R59" i="49"/>
  <c r="R62" i="49" s="1"/>
  <c r="Q59" i="49"/>
  <c r="S59" i="49" s="1"/>
  <c r="M70" i="47"/>
  <c r="E11" i="46" s="1"/>
  <c r="E13" i="46" s="1"/>
  <c r="N30" i="47"/>
  <c r="O51" i="47"/>
  <c r="J52" i="47"/>
  <c r="R30" i="51"/>
  <c r="N50" i="49"/>
  <c r="R50" i="49"/>
  <c r="T15" i="55"/>
  <c r="T16" i="55" s="1"/>
  <c r="K37" i="46" s="1"/>
  <c r="L46" i="37" s="1"/>
  <c r="Q16" i="55"/>
  <c r="S29" i="47"/>
  <c r="S20" i="48"/>
  <c r="P34" i="54"/>
  <c r="S34" i="54" s="1"/>
  <c r="R48" i="49"/>
  <c r="Q48" i="49"/>
  <c r="S24" i="51"/>
  <c r="N30" i="51"/>
  <c r="N34" i="51" s="1"/>
  <c r="F26" i="46" s="1"/>
  <c r="F27" i="46" s="1"/>
  <c r="P22" i="51"/>
  <c r="K107" i="49"/>
  <c r="F37" i="49" s="1"/>
  <c r="I37" i="49" s="1"/>
  <c r="J37" i="49" s="1"/>
  <c r="J107" i="49"/>
  <c r="S31" i="54"/>
  <c r="S41" i="49"/>
  <c r="O43" i="49"/>
  <c r="O66" i="49" s="1"/>
  <c r="G18" i="46" s="1"/>
  <c r="G21" i="46" s="1"/>
  <c r="P40" i="49"/>
  <c r="S40" i="49" s="1"/>
  <c r="R24" i="48"/>
  <c r="S27" i="51"/>
  <c r="N62" i="49"/>
  <c r="N68" i="49" s="1"/>
  <c r="F20" i="46" s="1"/>
  <c r="P55" i="49"/>
  <c r="N32" i="25"/>
  <c r="P32" i="25" s="1"/>
  <c r="Z51" i="22"/>
  <c r="Z70" i="22" s="1"/>
  <c r="Z72" i="22" s="1"/>
  <c r="N29" i="41"/>
  <c r="R29" i="41"/>
  <c r="R37" i="41"/>
  <c r="V37" i="41"/>
  <c r="T23" i="43"/>
  <c r="T24" i="43" s="1"/>
  <c r="W23" i="43"/>
  <c r="R24" i="43"/>
  <c r="R37" i="43" s="1"/>
  <c r="R39" i="43" s="1"/>
  <c r="E25" i="20"/>
  <c r="E26" i="20" s="1"/>
  <c r="F26" i="37" s="1"/>
  <c r="L45" i="24"/>
  <c r="E3" i="22"/>
  <c r="T70" i="22"/>
  <c r="R34" i="40"/>
  <c r="W34" i="40" s="1"/>
  <c r="Y34" i="40" s="1"/>
  <c r="N34" i="40"/>
  <c r="S34" i="40" s="1"/>
  <c r="X34" i="40" s="1"/>
  <c r="O34" i="40"/>
  <c r="P73" i="21"/>
  <c r="R73" i="21"/>
  <c r="R80" i="21" s="1"/>
  <c r="R89" i="21" s="1"/>
  <c r="U73" i="21"/>
  <c r="S73" i="21"/>
  <c r="S80" i="21" s="1"/>
  <c r="S89" i="21" s="1"/>
  <c r="Z44" i="22"/>
  <c r="O49" i="40"/>
  <c r="M50" i="40"/>
  <c r="M58" i="40" s="1"/>
  <c r="F13" i="39" s="1"/>
  <c r="K38" i="20"/>
  <c r="L43" i="37"/>
  <c r="M83" i="26"/>
  <c r="P83" i="26" s="1"/>
  <c r="L85" i="26"/>
  <c r="M85" i="26" s="1"/>
  <c r="N35" i="40"/>
  <c r="S35" i="40" s="1"/>
  <c r="X35" i="40" s="1"/>
  <c r="R35" i="40"/>
  <c r="M39" i="23"/>
  <c r="R39" i="23"/>
  <c r="W39" i="23"/>
  <c r="V79" i="21"/>
  <c r="V80" i="21" s="1"/>
  <c r="V89" i="21" s="1"/>
  <c r="Y79" i="21"/>
  <c r="X44" i="23"/>
  <c r="X45" i="23" s="1"/>
  <c r="X52" i="23" s="1"/>
  <c r="X53" i="23" s="1"/>
  <c r="U44" i="23"/>
  <c r="V44" i="23"/>
  <c r="W44" i="23"/>
  <c r="O52" i="21"/>
  <c r="L87" i="21"/>
  <c r="I11" i="20"/>
  <c r="M36" i="40"/>
  <c r="M56" i="40" s="1"/>
  <c r="Q30" i="41"/>
  <c r="Q45" i="41" s="1"/>
  <c r="Q47" i="41" s="1"/>
  <c r="V27" i="41"/>
  <c r="V30" i="41" s="1"/>
  <c r="V45" i="41" s="1"/>
  <c r="P47" i="41"/>
  <c r="O24" i="43"/>
  <c r="R30" i="26"/>
  <c r="Q31" i="26"/>
  <c r="O59" i="21"/>
  <c r="M67" i="21"/>
  <c r="M88" i="21" s="1"/>
  <c r="E4" i="26"/>
  <c r="I33" i="20" s="1"/>
  <c r="T46" i="26"/>
  <c r="N33" i="24"/>
  <c r="M37" i="24"/>
  <c r="M44" i="24" s="1"/>
  <c r="O33" i="24"/>
  <c r="R35" i="41"/>
  <c r="V35" i="41"/>
  <c r="V38" i="41" s="1"/>
  <c r="V46" i="41" s="1"/>
  <c r="Q38" i="41"/>
  <c r="Q46" i="41" s="1"/>
  <c r="S17" i="44"/>
  <c r="W17" i="44"/>
  <c r="W18" i="44" s="1"/>
  <c r="R18" i="44"/>
  <c r="Z29" i="24"/>
  <c r="Z30" i="24" s="1"/>
  <c r="Z43" i="24" s="1"/>
  <c r="T30" i="24"/>
  <c r="N18" i="44"/>
  <c r="G29" i="39" s="1"/>
  <c r="G30" i="39" s="1"/>
  <c r="H37" i="37" s="1"/>
  <c r="O17" i="44"/>
  <c r="Q33" i="25"/>
  <c r="R33" i="25" s="1"/>
  <c r="S33" i="25" s="1"/>
  <c r="U33" i="25" s="1"/>
  <c r="V36" i="41"/>
  <c r="W36" i="41" s="1"/>
  <c r="X36" i="41" s="1"/>
  <c r="N17" i="27"/>
  <c r="I37" i="20" s="1"/>
  <c r="P4" i="41"/>
  <c r="O38" i="41"/>
  <c r="Q36" i="40"/>
  <c r="Q56" i="40" s="1"/>
  <c r="Z58" i="22"/>
  <c r="Z64" i="22" s="1"/>
  <c r="Z71" i="22" s="1"/>
  <c r="O64" i="22"/>
  <c r="I48" i="40"/>
  <c r="H50" i="40"/>
  <c r="I50" i="40" s="1"/>
  <c r="T79" i="21"/>
  <c r="F3" i="24"/>
  <c r="Y43" i="24"/>
  <c r="N42" i="23"/>
  <c r="O42" i="23" s="1"/>
  <c r="Q42" i="23"/>
  <c r="Q41" i="23"/>
  <c r="Q45" i="23" s="1"/>
  <c r="Q52" i="23" s="1"/>
  <c r="Q53" i="23" s="1"/>
  <c r="R42" i="23"/>
  <c r="P42" i="23"/>
  <c r="V42" i="23"/>
  <c r="S42" i="23"/>
  <c r="S45" i="23" s="1"/>
  <c r="S52" i="23" s="1"/>
  <c r="S53" i="23" s="1"/>
  <c r="U42" i="23"/>
  <c r="F3" i="22"/>
  <c r="Y70" i="22"/>
  <c r="Y72" i="22" s="1"/>
  <c r="W33" i="40"/>
  <c r="O38" i="43"/>
  <c r="D6" i="43"/>
  <c r="L47" i="41"/>
  <c r="E17" i="39"/>
  <c r="E19" i="39" s="1"/>
  <c r="F34" i="37" s="1"/>
  <c r="H38" i="20"/>
  <c r="I43" i="37"/>
  <c r="U30" i="41"/>
  <c r="U45" i="41" s="1"/>
  <c r="D54" i="25"/>
  <c r="G16" i="20"/>
  <c r="G18" i="20" s="1"/>
  <c r="H18" i="37" s="1"/>
  <c r="N72" i="22"/>
  <c r="X30" i="26"/>
  <c r="X31" i="26" s="1"/>
  <c r="X45" i="26" s="1"/>
  <c r="X47" i="26" s="1"/>
  <c r="Y30" i="26"/>
  <c r="R59" i="21"/>
  <c r="Q67" i="21"/>
  <c r="Q88" i="21" s="1"/>
  <c r="Q90" i="21" s="1"/>
  <c r="F16" i="20"/>
  <c r="F18" i="20" s="1"/>
  <c r="G18" i="37" s="1"/>
  <c r="M72" i="22"/>
  <c r="N41" i="23"/>
  <c r="P41" i="23"/>
  <c r="U36" i="40"/>
  <c r="U56" i="40" s="1"/>
  <c r="V20" i="42"/>
  <c r="Y49" i="40"/>
  <c r="O21" i="45"/>
  <c r="Q21" i="45"/>
  <c r="N21" i="45"/>
  <c r="E33" i="39"/>
  <c r="J38" i="20"/>
  <c r="K43" i="37"/>
  <c r="N90" i="21"/>
  <c r="V36" i="40"/>
  <c r="V56" i="40" s="1"/>
  <c r="Y29" i="43"/>
  <c r="W30" i="43"/>
  <c r="W38" i="43" s="1"/>
  <c r="O35" i="40"/>
  <c r="Z29" i="26"/>
  <c r="O51" i="22"/>
  <c r="Y65" i="21"/>
  <c r="Z65" i="21" s="1"/>
  <c r="S33" i="40"/>
  <c r="N36" i="40"/>
  <c r="N56" i="40" s="1"/>
  <c r="R27" i="41"/>
  <c r="M30" i="41"/>
  <c r="M45" i="41" s="1"/>
  <c r="N27" i="41"/>
  <c r="N28" i="41"/>
  <c r="R28" i="41"/>
  <c r="M39" i="43"/>
  <c r="F25" i="39"/>
  <c r="F27" i="39" s="1"/>
  <c r="G36" i="37" s="1"/>
  <c r="H33" i="20"/>
  <c r="K33" i="20" s="1"/>
  <c r="G4" i="26"/>
  <c r="J20" i="20"/>
  <c r="D3" i="25"/>
  <c r="O41" i="25"/>
  <c r="N31" i="25"/>
  <c r="M35" i="25"/>
  <c r="M42" i="25" s="1"/>
  <c r="Y66" i="21"/>
  <c r="Z66" i="21" s="1"/>
  <c r="P67" i="21"/>
  <c r="P88" i="21" s="1"/>
  <c r="W31" i="26"/>
  <c r="P72" i="22"/>
  <c r="O80" i="21"/>
  <c r="O89" i="21" s="1"/>
  <c r="D7" i="21" s="1"/>
  <c r="E11" i="39"/>
  <c r="H24" i="20"/>
  <c r="P41" i="40"/>
  <c r="U41" i="40"/>
  <c r="K41" i="40"/>
  <c r="T64" i="22"/>
  <c r="U38" i="41"/>
  <c r="U46" i="41" s="1"/>
  <c r="E16" i="20"/>
  <c r="E18" i="20" s="1"/>
  <c r="F18" i="37" s="1"/>
  <c r="L72" i="22"/>
  <c r="T34" i="40"/>
  <c r="N20" i="42"/>
  <c r="R20" i="42"/>
  <c r="F23" i="39"/>
  <c r="G35" i="37" s="1"/>
  <c r="O20" i="42"/>
  <c r="T49" i="40"/>
  <c r="Q20" i="45"/>
  <c r="N20" i="45"/>
  <c r="L22" i="45"/>
  <c r="E32" i="39"/>
  <c r="G14" i="20"/>
  <c r="H11" i="37" s="1"/>
  <c r="T38" i="43"/>
  <c r="E6" i="43"/>
  <c r="I26" i="39" s="1"/>
  <c r="O33" i="23"/>
  <c r="L36" i="23"/>
  <c r="L51" i="23" s="1"/>
  <c r="O27" i="41"/>
  <c r="E34" i="39" l="1"/>
  <c r="F38" i="37" s="1"/>
  <c r="F39" i="37" s="1"/>
  <c r="N24" i="48"/>
  <c r="N29" i="48" s="1"/>
  <c r="F15" i="46" s="1"/>
  <c r="F16" i="46" s="1"/>
  <c r="G13" i="37" s="1"/>
  <c r="P19" i="48"/>
  <c r="R70" i="47"/>
  <c r="F3" i="47"/>
  <c r="Q51" i="49"/>
  <c r="S48" i="49"/>
  <c r="P50" i="49"/>
  <c r="S50" i="49" s="1"/>
  <c r="N51" i="49"/>
  <c r="N67" i="49" s="1"/>
  <c r="F19" i="46" s="1"/>
  <c r="D4" i="54"/>
  <c r="H32" i="46" s="1"/>
  <c r="H33" i="46" s="1"/>
  <c r="G3" i="54"/>
  <c r="G4" i="54" s="1"/>
  <c r="K32" i="46" s="1"/>
  <c r="K33" i="46" s="1"/>
  <c r="Q62" i="49"/>
  <c r="S26" i="52"/>
  <c r="S27" i="52" s="1"/>
  <c r="Q70" i="47"/>
  <c r="E3" i="47"/>
  <c r="Q27" i="52"/>
  <c r="E3" i="52" s="1"/>
  <c r="E4" i="52" s="1"/>
  <c r="I28" i="46" s="1"/>
  <c r="I29" i="46" s="1"/>
  <c r="J23" i="37" s="1"/>
  <c r="F3" i="48"/>
  <c r="F4" i="48" s="1"/>
  <c r="J15" i="46" s="1"/>
  <c r="J16" i="46" s="1"/>
  <c r="K13" i="37" s="1"/>
  <c r="R29" i="48"/>
  <c r="S20" i="47"/>
  <c r="S30" i="47" s="1"/>
  <c r="S22" i="51"/>
  <c r="S30" i="51" s="1"/>
  <c r="S34" i="51" s="1"/>
  <c r="P30" i="51"/>
  <c r="R51" i="49"/>
  <c r="D3" i="55"/>
  <c r="H37" i="46"/>
  <c r="I46" i="37" s="1"/>
  <c r="R34" i="51"/>
  <c r="F3" i="51"/>
  <c r="F4" i="51" s="1"/>
  <c r="J26" i="46" s="1"/>
  <c r="J27" i="46" s="1"/>
  <c r="O52" i="47"/>
  <c r="P51" i="47"/>
  <c r="S51" i="47" s="1"/>
  <c r="F5" i="49"/>
  <c r="J20" i="46" s="1"/>
  <c r="R68" i="49"/>
  <c r="P44" i="47"/>
  <c r="S44" i="47" s="1"/>
  <c r="O45" i="47"/>
  <c r="P45" i="47" s="1"/>
  <c r="S39" i="54"/>
  <c r="S23" i="52"/>
  <c r="P27" i="52"/>
  <c r="D3" i="52" s="1"/>
  <c r="N37" i="49"/>
  <c r="R37" i="49"/>
  <c r="R43" i="49" s="1"/>
  <c r="Q37" i="49"/>
  <c r="Q43" i="49" s="1"/>
  <c r="P62" i="49"/>
  <c r="S55" i="49"/>
  <c r="S62" i="49" s="1"/>
  <c r="S68" i="49" s="1"/>
  <c r="N70" i="47"/>
  <c r="F11" i="46" s="1"/>
  <c r="F13" i="46" s="1"/>
  <c r="O30" i="47"/>
  <c r="Q34" i="51"/>
  <c r="E3" i="51"/>
  <c r="E4" i="51" s="1"/>
  <c r="I26" i="46" s="1"/>
  <c r="I27" i="46" s="1"/>
  <c r="Q29" i="48"/>
  <c r="E3" i="48"/>
  <c r="E4" i="48" s="1"/>
  <c r="I15" i="46" s="1"/>
  <c r="I16" i="46" s="1"/>
  <c r="J13" i="37" s="1"/>
  <c r="G5" i="50"/>
  <c r="K23" i="46"/>
  <c r="K25" i="46" s="1"/>
  <c r="N27" i="52"/>
  <c r="F28" i="46" s="1"/>
  <c r="F29" i="46" s="1"/>
  <c r="G23" i="37" s="1"/>
  <c r="S47" i="49"/>
  <c r="P24" i="53"/>
  <c r="N31" i="53"/>
  <c r="F30" i="46" s="1"/>
  <c r="F31" i="46" s="1"/>
  <c r="P31" i="25"/>
  <c r="N35" i="25"/>
  <c r="N42" i="25" s="1"/>
  <c r="H26" i="39"/>
  <c r="F12" i="20"/>
  <c r="F14" i="20" s="1"/>
  <c r="G11" i="37" s="1"/>
  <c r="M90" i="21"/>
  <c r="S30" i="26"/>
  <c r="S31" i="26" s="1"/>
  <c r="S45" i="26" s="1"/>
  <c r="S47" i="26" s="1"/>
  <c r="R31" i="26"/>
  <c r="R45" i="26" s="1"/>
  <c r="R47" i="26" s="1"/>
  <c r="T30" i="26"/>
  <c r="F11" i="39"/>
  <c r="O87" i="21"/>
  <c r="Z52" i="21"/>
  <c r="Z87" i="21" s="1"/>
  <c r="T39" i="23"/>
  <c r="R45" i="23"/>
  <c r="R52" i="23" s="1"/>
  <c r="R53" i="23" s="1"/>
  <c r="L30" i="26"/>
  <c r="P85" i="26"/>
  <c r="D30" i="26" s="1"/>
  <c r="H30" i="26" s="1"/>
  <c r="I30" i="26" s="1"/>
  <c r="S37" i="41"/>
  <c r="X37" i="41" s="1"/>
  <c r="W37" i="41"/>
  <c r="N22" i="45"/>
  <c r="S20" i="45"/>
  <c r="G32" i="39"/>
  <c r="T71" i="22"/>
  <c r="E4" i="22"/>
  <c r="I17" i="20" s="1"/>
  <c r="H13" i="20"/>
  <c r="S27" i="41"/>
  <c r="N30" i="41"/>
  <c r="N45" i="41" s="1"/>
  <c r="S36" i="40"/>
  <c r="S56" i="40" s="1"/>
  <c r="S60" i="40" s="1"/>
  <c r="X33" i="40"/>
  <c r="T33" i="40"/>
  <c r="D6" i="45"/>
  <c r="N45" i="23"/>
  <c r="N52" i="23" s="1"/>
  <c r="O41" i="23"/>
  <c r="Z41" i="23" s="1"/>
  <c r="S59" i="21"/>
  <c r="R67" i="21"/>
  <c r="R88" i="21" s="1"/>
  <c r="R90" i="21" s="1"/>
  <c r="T37" i="41"/>
  <c r="V45" i="23"/>
  <c r="V52" i="23" s="1"/>
  <c r="V53" i="23" s="1"/>
  <c r="J24" i="20"/>
  <c r="P48" i="40"/>
  <c r="U48" i="40"/>
  <c r="L48" i="40"/>
  <c r="Q48" i="40"/>
  <c r="R48" i="40"/>
  <c r="R50" i="40" s="1"/>
  <c r="R58" i="40" s="1"/>
  <c r="N48" i="40"/>
  <c r="N50" i="40" s="1"/>
  <c r="N58" i="40" s="1"/>
  <c r="G13" i="39" s="1"/>
  <c r="D6" i="41"/>
  <c r="O46" i="41"/>
  <c r="T33" i="25"/>
  <c r="E3" i="24"/>
  <c r="T43" i="24"/>
  <c r="S35" i="41"/>
  <c r="W35" i="41"/>
  <c r="R38" i="41"/>
  <c r="R46" i="41" s="1"/>
  <c r="O37" i="24"/>
  <c r="O67" i="21"/>
  <c r="O88" i="21" s="1"/>
  <c r="D6" i="21" s="1"/>
  <c r="O37" i="43"/>
  <c r="O39" i="43" s="1"/>
  <c r="D5" i="43"/>
  <c r="V47" i="41"/>
  <c r="O39" i="23"/>
  <c r="M45" i="23"/>
  <c r="M52" i="23" s="1"/>
  <c r="P80" i="21"/>
  <c r="P89" i="21" s="1"/>
  <c r="T73" i="21"/>
  <c r="Y23" i="43"/>
  <c r="W24" i="43"/>
  <c r="W37" i="43" s="1"/>
  <c r="W39" i="43" s="1"/>
  <c r="W29" i="41"/>
  <c r="T29" i="41"/>
  <c r="Z33" i="23"/>
  <c r="Z36" i="23" s="1"/>
  <c r="Z51" i="23" s="1"/>
  <c r="O36" i="23"/>
  <c r="P43" i="40"/>
  <c r="P57" i="40" s="1"/>
  <c r="G11" i="39"/>
  <c r="T21" i="45"/>
  <c r="E6" i="45" s="1"/>
  <c r="I33" i="39" s="1"/>
  <c r="V21" i="45"/>
  <c r="P45" i="23"/>
  <c r="P52" i="23" s="1"/>
  <c r="P53" i="23" s="1"/>
  <c r="T41" i="23"/>
  <c r="I38" i="20"/>
  <c r="J43" i="37"/>
  <c r="T20" i="45"/>
  <c r="Q22" i="45"/>
  <c r="V20" i="45"/>
  <c r="W20" i="42"/>
  <c r="M41" i="40"/>
  <c r="M43" i="40" s="1"/>
  <c r="M57" i="40" s="1"/>
  <c r="F12" i="39" s="1"/>
  <c r="K43" i="40"/>
  <c r="K57" i="40" s="1"/>
  <c r="W41" i="40"/>
  <c r="W43" i="40" s="1"/>
  <c r="W57" i="40" s="1"/>
  <c r="R41" i="40"/>
  <c r="R43" i="40" s="1"/>
  <c r="R57" i="40" s="1"/>
  <c r="P90" i="21"/>
  <c r="F29" i="20"/>
  <c r="F30" i="20" s="1"/>
  <c r="G30" i="37" s="1"/>
  <c r="M43" i="25"/>
  <c r="H28" i="20"/>
  <c r="G3" i="25"/>
  <c r="W28" i="41"/>
  <c r="M47" i="41"/>
  <c r="F17" i="39"/>
  <c r="F19" i="39" s="1"/>
  <c r="G34" i="37" s="1"/>
  <c r="G39" i="37" s="1"/>
  <c r="Y30" i="43"/>
  <c r="Z29" i="43"/>
  <c r="Z30" i="43" s="1"/>
  <c r="Z38" i="43" s="1"/>
  <c r="R36" i="40"/>
  <c r="R56" i="40" s="1"/>
  <c r="R60" i="40" s="1"/>
  <c r="J16" i="20"/>
  <c r="J18" i="20" s="1"/>
  <c r="K18" i="37" s="1"/>
  <c r="F5" i="22"/>
  <c r="T42" i="23"/>
  <c r="Z42" i="23"/>
  <c r="Z79" i="21"/>
  <c r="O71" i="22"/>
  <c r="D4" i="22"/>
  <c r="V33" i="25"/>
  <c r="W33" i="25" s="1"/>
  <c r="X33" i="25" s="1"/>
  <c r="S18" i="44"/>
  <c r="X17" i="44"/>
  <c r="F25" i="20"/>
  <c r="F26" i="20" s="1"/>
  <c r="G26" i="37" s="1"/>
  <c r="M45" i="24"/>
  <c r="W35" i="40"/>
  <c r="Y35" i="40" s="1"/>
  <c r="T35" i="40"/>
  <c r="Z35" i="40" s="1"/>
  <c r="Z34" i="40"/>
  <c r="T72" i="22"/>
  <c r="E5" i="43"/>
  <c r="T37" i="43"/>
  <c r="T39" i="43" s="1"/>
  <c r="S29" i="41"/>
  <c r="X29" i="41" s="1"/>
  <c r="O29" i="41"/>
  <c r="Q32" i="25"/>
  <c r="R32" i="25" s="1"/>
  <c r="S32" i="25" s="1"/>
  <c r="U32" i="25" s="1"/>
  <c r="E20" i="20"/>
  <c r="E22" i="20" s="1"/>
  <c r="F19" i="37" s="1"/>
  <c r="F20" i="37" s="1"/>
  <c r="L53" i="23"/>
  <c r="O20" i="45"/>
  <c r="G23" i="39"/>
  <c r="H35" i="37" s="1"/>
  <c r="S20" i="42"/>
  <c r="U43" i="40"/>
  <c r="U57" i="40" s="1"/>
  <c r="W45" i="26"/>
  <c r="W47" i="26" s="1"/>
  <c r="Y31" i="26"/>
  <c r="T59" i="21"/>
  <c r="T67" i="21" s="1"/>
  <c r="T88" i="21" s="1"/>
  <c r="O31" i="25"/>
  <c r="S28" i="41"/>
  <c r="X28" i="41" s="1"/>
  <c r="O28" i="41"/>
  <c r="O30" i="41" s="1"/>
  <c r="W27" i="41"/>
  <c r="R30" i="41"/>
  <c r="R45" i="41" s="1"/>
  <c r="D3" i="22"/>
  <c r="O70" i="22"/>
  <c r="O36" i="40"/>
  <c r="S21" i="45"/>
  <c r="X21" i="45" s="1"/>
  <c r="G33" i="39"/>
  <c r="U47" i="41"/>
  <c r="W36" i="40"/>
  <c r="W56" i="40" s="1"/>
  <c r="Y42" i="23"/>
  <c r="U45" i="23"/>
  <c r="U52" i="23" s="1"/>
  <c r="U53" i="23" s="1"/>
  <c r="Y36" i="41"/>
  <c r="Z36" i="41" s="1"/>
  <c r="O18" i="44"/>
  <c r="D5" i="44" s="1"/>
  <c r="T17" i="44"/>
  <c r="T18" i="44" s="1"/>
  <c r="E5" i="44" s="1"/>
  <c r="P33" i="24"/>
  <c r="N37" i="24"/>
  <c r="N44" i="24" s="1"/>
  <c r="Q45" i="26"/>
  <c r="Q47" i="26" s="1"/>
  <c r="T31" i="26"/>
  <c r="E11" i="20"/>
  <c r="E14" i="20" s="1"/>
  <c r="F11" i="37" s="1"/>
  <c r="F16" i="37" s="1"/>
  <c r="L90" i="21"/>
  <c r="Y44" i="23"/>
  <c r="Z44" i="23" s="1"/>
  <c r="Y39" i="23"/>
  <c r="Y45" i="23" s="1"/>
  <c r="W45" i="23"/>
  <c r="W52" i="23" s="1"/>
  <c r="W53" i="23" s="1"/>
  <c r="Z49" i="40"/>
  <c r="U80" i="21"/>
  <c r="U89" i="21" s="1"/>
  <c r="Y73" i="21"/>
  <c r="Y80" i="21" s="1"/>
  <c r="Y89" i="21" s="1"/>
  <c r="F7" i="21" s="1"/>
  <c r="J13" i="20" s="1"/>
  <c r="I16" i="20"/>
  <c r="I18" i="20" s="1"/>
  <c r="J18" i="37" s="1"/>
  <c r="E5" i="22"/>
  <c r="O32" i="25"/>
  <c r="G34" i="39" l="1"/>
  <c r="H38" i="37" s="1"/>
  <c r="P37" i="49"/>
  <c r="N43" i="49"/>
  <c r="N66" i="49" s="1"/>
  <c r="F18" i="46" s="1"/>
  <c r="F21" i="46" s="1"/>
  <c r="Q68" i="49"/>
  <c r="E5" i="49"/>
  <c r="I20" i="46" s="1"/>
  <c r="S51" i="49"/>
  <c r="S67" i="49" s="1"/>
  <c r="D5" i="49"/>
  <c r="P68" i="49"/>
  <c r="G3" i="52"/>
  <c r="G4" i="52" s="1"/>
  <c r="K28" i="46" s="1"/>
  <c r="K29" i="46" s="1"/>
  <c r="L23" i="37" s="1"/>
  <c r="D4" i="52"/>
  <c r="H28" i="46" s="1"/>
  <c r="H29" i="46" s="1"/>
  <c r="I23" i="37" s="1"/>
  <c r="O71" i="47"/>
  <c r="G12" i="46" s="1"/>
  <c r="P52" i="47"/>
  <c r="H3" i="55"/>
  <c r="H4" i="55" s="1"/>
  <c r="D4" i="55"/>
  <c r="E5" i="47"/>
  <c r="I11" i="46"/>
  <c r="I13" i="46" s="1"/>
  <c r="P24" i="48"/>
  <c r="S19" i="48"/>
  <c r="S24" i="48" s="1"/>
  <c r="S29" i="48" s="1"/>
  <c r="S24" i="53"/>
  <c r="S31" i="53" s="1"/>
  <c r="P31" i="53"/>
  <c r="D3" i="53" s="1"/>
  <c r="S45" i="47"/>
  <c r="S70" i="47" s="1"/>
  <c r="D3" i="47"/>
  <c r="P70" i="47"/>
  <c r="P51" i="49"/>
  <c r="O70" i="47"/>
  <c r="G11" i="46" s="1"/>
  <c r="G13" i="46" s="1"/>
  <c r="Q66" i="49"/>
  <c r="E3" i="49"/>
  <c r="R67" i="49"/>
  <c r="F4" i="49"/>
  <c r="J19" i="46" s="1"/>
  <c r="Q67" i="49"/>
  <c r="E4" i="49"/>
  <c r="I19" i="46" s="1"/>
  <c r="F3" i="49"/>
  <c r="R66" i="49"/>
  <c r="D3" i="51"/>
  <c r="P34" i="51"/>
  <c r="J11" i="46"/>
  <c r="J13" i="46" s="1"/>
  <c r="F5" i="47"/>
  <c r="O45" i="41"/>
  <c r="O47" i="41" s="1"/>
  <c r="D5" i="41"/>
  <c r="E6" i="44"/>
  <c r="I29" i="39"/>
  <c r="I30" i="39" s="1"/>
  <c r="J37" i="37" s="1"/>
  <c r="H16" i="20"/>
  <c r="D5" i="22"/>
  <c r="G3" i="22"/>
  <c r="G5" i="22" s="1"/>
  <c r="Y38" i="43"/>
  <c r="F6" i="43"/>
  <c r="D3" i="23"/>
  <c r="O51" i="23"/>
  <c r="H12" i="20"/>
  <c r="I24" i="20"/>
  <c r="G3" i="24"/>
  <c r="Z37" i="41"/>
  <c r="D5" i="21"/>
  <c r="O90" i="21"/>
  <c r="D6" i="44"/>
  <c r="H29" i="39"/>
  <c r="H30" i="39" s="1"/>
  <c r="I37" i="37" s="1"/>
  <c r="R47" i="41"/>
  <c r="O35" i="25"/>
  <c r="Y41" i="40"/>
  <c r="Y43" i="40" s="1"/>
  <c r="D5" i="45"/>
  <c r="O22" i="45"/>
  <c r="E7" i="43"/>
  <c r="I25" i="39"/>
  <c r="I27" i="39" s="1"/>
  <c r="J36" i="37" s="1"/>
  <c r="Y33" i="25"/>
  <c r="F27" i="37"/>
  <c r="D12" i="39"/>
  <c r="D15" i="39" s="1"/>
  <c r="E29" i="37" s="1"/>
  <c r="E32" i="37" s="1"/>
  <c r="K60" i="40"/>
  <c r="H23" i="39"/>
  <c r="I35" i="37" s="1"/>
  <c r="Y29" i="41"/>
  <c r="D7" i="43"/>
  <c r="H25" i="39"/>
  <c r="H27" i="39" s="1"/>
  <c r="I36" i="37" s="1"/>
  <c r="W38" i="41"/>
  <c r="W46" i="41" s="1"/>
  <c r="Z33" i="25"/>
  <c r="T48" i="40"/>
  <c r="T50" i="40" s="1"/>
  <c r="P50" i="40"/>
  <c r="P58" i="40" s="1"/>
  <c r="P60" i="40" s="1"/>
  <c r="U59" i="21"/>
  <c r="S67" i="21"/>
  <c r="S88" i="21" s="1"/>
  <c r="S90" i="21" s="1"/>
  <c r="H33" i="39"/>
  <c r="X20" i="45"/>
  <c r="X22" i="45" s="1"/>
  <c r="S22" i="45"/>
  <c r="Y37" i="41"/>
  <c r="M30" i="26"/>
  <c r="L31" i="26"/>
  <c r="M60" i="40"/>
  <c r="G29" i="20"/>
  <c r="G30" i="20" s="1"/>
  <c r="H30" i="37" s="1"/>
  <c r="N43" i="25"/>
  <c r="F4" i="23"/>
  <c r="Y52" i="23"/>
  <c r="Y53" i="23" s="1"/>
  <c r="E3" i="26"/>
  <c r="T45" i="26"/>
  <c r="T47" i="26" s="1"/>
  <c r="V22" i="45"/>
  <c r="Y20" i="45"/>
  <c r="Z73" i="21"/>
  <c r="Z80" i="21" s="1"/>
  <c r="Z89" i="21" s="1"/>
  <c r="T80" i="21"/>
  <c r="T89" i="21" s="1"/>
  <c r="E7" i="21" s="1"/>
  <c r="O45" i="23"/>
  <c r="Z39" i="23"/>
  <c r="Z45" i="23" s="1"/>
  <c r="Z52" i="23" s="1"/>
  <c r="Z53" i="23" s="1"/>
  <c r="U50" i="40"/>
  <c r="U58" i="40" s="1"/>
  <c r="U60" i="40" s="1"/>
  <c r="X36" i="40"/>
  <c r="X56" i="40" s="1"/>
  <c r="X60" i="40" s="1"/>
  <c r="Y33" i="40"/>
  <c r="Y36" i="40" s="1"/>
  <c r="G25" i="20"/>
  <c r="G26" i="20" s="1"/>
  <c r="H26" i="37" s="1"/>
  <c r="N45" i="24"/>
  <c r="W60" i="40"/>
  <c r="D5" i="40"/>
  <c r="O56" i="40"/>
  <c r="W30" i="41"/>
  <c r="W45" i="41" s="1"/>
  <c r="W47" i="41" s="1"/>
  <c r="E6" i="21"/>
  <c r="Y32" i="25"/>
  <c r="Z32" i="25" s="1"/>
  <c r="V32" i="25"/>
  <c r="W32" i="25" s="1"/>
  <c r="X32" i="25" s="1"/>
  <c r="Z29" i="41"/>
  <c r="X18" i="44"/>
  <c r="Y17" i="44"/>
  <c r="Y18" i="44" s="1"/>
  <c r="F5" i="44" s="1"/>
  <c r="T28" i="41"/>
  <c r="K28" i="20"/>
  <c r="E5" i="45"/>
  <c r="T22" i="45"/>
  <c r="N60" i="40"/>
  <c r="T41" i="40"/>
  <c r="T43" i="40" s="1"/>
  <c r="H27" i="37"/>
  <c r="X35" i="41"/>
  <c r="X38" i="41" s="1"/>
  <c r="X46" i="41" s="1"/>
  <c r="S38" i="41"/>
  <c r="S46" i="41" s="1"/>
  <c r="T35" i="41"/>
  <c r="V48" i="40"/>
  <c r="V50" i="40" s="1"/>
  <c r="V58" i="40" s="1"/>
  <c r="V60" i="40" s="1"/>
  <c r="Q50" i="40"/>
  <c r="Q58" i="40" s="1"/>
  <c r="Q60" i="40" s="1"/>
  <c r="N47" i="41"/>
  <c r="G17" i="39"/>
  <c r="G19" i="39" s="1"/>
  <c r="H34" i="37" s="1"/>
  <c r="H39" i="37" s="1"/>
  <c r="F15" i="39"/>
  <c r="G29" i="37" s="1"/>
  <c r="G27" i="37"/>
  <c r="Q31" i="25"/>
  <c r="P35" i="25"/>
  <c r="P42" i="25" s="1"/>
  <c r="P43" i="25" s="1"/>
  <c r="Q33" i="24"/>
  <c r="P37" i="24"/>
  <c r="P44" i="24" s="1"/>
  <c r="P45" i="24" s="1"/>
  <c r="O72" i="22"/>
  <c r="Y45" i="26"/>
  <c r="Y47" i="26" s="1"/>
  <c r="F3" i="26"/>
  <c r="X20" i="42"/>
  <c r="T32" i="25"/>
  <c r="H17" i="20"/>
  <c r="K17" i="20" s="1"/>
  <c r="G4" i="22"/>
  <c r="Y28" i="41"/>
  <c r="Z28" i="41" s="1"/>
  <c r="O41" i="40"/>
  <c r="Y21" i="45"/>
  <c r="F6" i="45" s="1"/>
  <c r="J33" i="39" s="1"/>
  <c r="G15" i="39"/>
  <c r="H29" i="37" s="1"/>
  <c r="Y24" i="43"/>
  <c r="Z23" i="43"/>
  <c r="Z24" i="43" s="1"/>
  <c r="Z37" i="43" s="1"/>
  <c r="Z39" i="43" s="1"/>
  <c r="F21" i="20"/>
  <c r="F22" i="20" s="1"/>
  <c r="G19" i="37" s="1"/>
  <c r="G20" i="37" s="1"/>
  <c r="M53" i="23"/>
  <c r="D4" i="24"/>
  <c r="O44" i="24"/>
  <c r="O45" i="24" s="1"/>
  <c r="H18" i="39"/>
  <c r="O48" i="40"/>
  <c r="L50" i="40"/>
  <c r="L58" i="40" s="1"/>
  <c r="G21" i="20"/>
  <c r="G22" i="20" s="1"/>
  <c r="H19" i="37" s="1"/>
  <c r="H20" i="37" s="1"/>
  <c r="N53" i="23"/>
  <c r="T36" i="40"/>
  <c r="X27" i="41"/>
  <c r="X30" i="41" s="1"/>
  <c r="X45" i="41" s="1"/>
  <c r="X47" i="41" s="1"/>
  <c r="S30" i="41"/>
  <c r="S45" i="41" s="1"/>
  <c r="T27" i="41"/>
  <c r="T45" i="23"/>
  <c r="T20" i="42"/>
  <c r="Z17" i="44" l="1"/>
  <c r="Z18" i="44" s="1"/>
  <c r="F6" i="49"/>
  <c r="J18" i="46"/>
  <c r="J21" i="46" s="1"/>
  <c r="J36" i="46" s="1"/>
  <c r="J38" i="46" s="1"/>
  <c r="J40" i="46" s="1"/>
  <c r="E5" i="38" s="1"/>
  <c r="D4" i="49"/>
  <c r="P67" i="49"/>
  <c r="D4" i="53"/>
  <c r="H30" i="46" s="1"/>
  <c r="H31" i="46" s="1"/>
  <c r="G3" i="53"/>
  <c r="G4" i="53" s="1"/>
  <c r="K30" i="46" s="1"/>
  <c r="K31" i="46" s="1"/>
  <c r="I36" i="46"/>
  <c r="I38" i="46" s="1"/>
  <c r="I40" i="46" s="1"/>
  <c r="D5" i="38" s="1"/>
  <c r="I18" i="46"/>
  <c r="I21" i="46" s="1"/>
  <c r="E6" i="49"/>
  <c r="S52" i="47"/>
  <c r="S71" i="47" s="1"/>
  <c r="P71" i="47"/>
  <c r="D4" i="47"/>
  <c r="D4" i="51"/>
  <c r="H26" i="46" s="1"/>
  <c r="H27" i="46" s="1"/>
  <c r="G3" i="51"/>
  <c r="G4" i="51" s="1"/>
  <c r="K26" i="46" s="1"/>
  <c r="K27" i="46" s="1"/>
  <c r="D5" i="47"/>
  <c r="G3" i="47"/>
  <c r="H11" i="46"/>
  <c r="G5" i="49"/>
  <c r="K20" i="46" s="1"/>
  <c r="H20" i="46"/>
  <c r="D3" i="48"/>
  <c r="P29" i="48"/>
  <c r="P43" i="49"/>
  <c r="S37" i="49"/>
  <c r="S43" i="49" s="1"/>
  <c r="S66" i="49" s="1"/>
  <c r="O50" i="40"/>
  <c r="Y48" i="40"/>
  <c r="Y50" i="40" s="1"/>
  <c r="I13" i="20"/>
  <c r="K13" i="20" s="1"/>
  <c r="G7" i="21"/>
  <c r="Y22" i="45"/>
  <c r="F5" i="45"/>
  <c r="G5" i="45" s="1"/>
  <c r="N30" i="26"/>
  <c r="N31" i="26" s="1"/>
  <c r="N45" i="26" s="1"/>
  <c r="M31" i="26"/>
  <c r="M45" i="26" s="1"/>
  <c r="D7" i="45"/>
  <c r="H32" i="39"/>
  <c r="H34" i="39" s="1"/>
  <c r="I38" i="37" s="1"/>
  <c r="H11" i="20"/>
  <c r="G5" i="21"/>
  <c r="D8" i="21"/>
  <c r="J26" i="39"/>
  <c r="G6" i="43"/>
  <c r="K26" i="39" s="1"/>
  <c r="H18" i="20"/>
  <c r="I18" i="37" s="1"/>
  <c r="K16" i="20"/>
  <c r="K18" i="20" s="1"/>
  <c r="L18" i="37" s="1"/>
  <c r="D7" i="41"/>
  <c r="H17" i="39"/>
  <c r="H19" i="39" s="1"/>
  <c r="I34" i="37" s="1"/>
  <c r="Z33" i="40"/>
  <c r="Z36" i="40" s="1"/>
  <c r="Z56" i="40" s="1"/>
  <c r="H25" i="20"/>
  <c r="D5" i="24"/>
  <c r="Z41" i="40"/>
  <c r="Z43" i="40" s="1"/>
  <c r="Z57" i="40" s="1"/>
  <c r="O43" i="40"/>
  <c r="J32" i="20"/>
  <c r="J34" i="20" s="1"/>
  <c r="K31" i="37" s="1"/>
  <c r="F5" i="26"/>
  <c r="T38" i="41"/>
  <c r="Z35" i="41"/>
  <c r="Z38" i="41" s="1"/>
  <c r="Z46" i="41" s="1"/>
  <c r="T90" i="21"/>
  <c r="E5" i="26"/>
  <c r="I32" i="20"/>
  <c r="I34" i="20" s="1"/>
  <c r="J31" i="37" s="1"/>
  <c r="G6" i="45"/>
  <c r="K33" i="39" s="1"/>
  <c r="T58" i="40"/>
  <c r="E7" i="40"/>
  <c r="I13" i="39" s="1"/>
  <c r="F6" i="40"/>
  <c r="J12" i="39" s="1"/>
  <c r="Y57" i="40"/>
  <c r="T30" i="41"/>
  <c r="T56" i="40"/>
  <c r="T60" i="40" s="1"/>
  <c r="E5" i="40"/>
  <c r="R31" i="25"/>
  <c r="Q35" i="25"/>
  <c r="Q42" i="25" s="1"/>
  <c r="Q43" i="25" s="1"/>
  <c r="H16" i="37"/>
  <c r="E7" i="45"/>
  <c r="I32" i="39"/>
  <c r="I34" i="39" s="1"/>
  <c r="J38" i="37" s="1"/>
  <c r="F6" i="44"/>
  <c r="J29" i="39"/>
  <c r="J30" i="39" s="1"/>
  <c r="K37" i="37" s="1"/>
  <c r="I12" i="20"/>
  <c r="I14" i="20" s="1"/>
  <c r="E8" i="21"/>
  <c r="G5" i="40"/>
  <c r="H11" i="39"/>
  <c r="Y56" i="40"/>
  <c r="F5" i="40"/>
  <c r="O30" i="26"/>
  <c r="Z30" i="26" s="1"/>
  <c r="O53" i="23"/>
  <c r="E4" i="23"/>
  <c r="T52" i="23"/>
  <c r="T53" i="23" s="1"/>
  <c r="S47" i="41"/>
  <c r="E13" i="39"/>
  <c r="E15" i="39" s="1"/>
  <c r="F29" i="37" s="1"/>
  <c r="L60" i="40"/>
  <c r="Y37" i="43"/>
  <c r="Y39" i="43" s="1"/>
  <c r="F5" i="43"/>
  <c r="Y20" i="42"/>
  <c r="R33" i="24"/>
  <c r="Q37" i="24"/>
  <c r="Q44" i="24" s="1"/>
  <c r="Q45" i="24" s="1"/>
  <c r="T57" i="40"/>
  <c r="E6" i="40"/>
  <c r="I12" i="39" s="1"/>
  <c r="Y27" i="41"/>
  <c r="Y30" i="41" s="1"/>
  <c r="D4" i="23"/>
  <c r="O52" i="23"/>
  <c r="J21" i="20"/>
  <c r="J22" i="20" s="1"/>
  <c r="K19" i="37" s="1"/>
  <c r="K20" i="37" s="1"/>
  <c r="F5" i="23"/>
  <c r="L45" i="26"/>
  <c r="U67" i="21"/>
  <c r="U88" i="21" s="1"/>
  <c r="U90" i="21" s="1"/>
  <c r="V59" i="21"/>
  <c r="Y35" i="41"/>
  <c r="Y38" i="41" s="1"/>
  <c r="G16" i="37"/>
  <c r="Z20" i="45"/>
  <c r="Z22" i="45" s="1"/>
  <c r="D4" i="25"/>
  <c r="O42" i="25"/>
  <c r="O43" i="25" s="1"/>
  <c r="G5" i="44"/>
  <c r="Z21" i="45"/>
  <c r="K24" i="20"/>
  <c r="H20" i="20"/>
  <c r="G3" i="23"/>
  <c r="I39" i="37" l="1"/>
  <c r="D3" i="49"/>
  <c r="P66" i="49"/>
  <c r="G4" i="49"/>
  <c r="K19" i="46" s="1"/>
  <c r="H19" i="46"/>
  <c r="D4" i="48"/>
  <c r="H15" i="46" s="1"/>
  <c r="H16" i="46" s="1"/>
  <c r="I13" i="37" s="1"/>
  <c r="G3" i="48"/>
  <c r="G4" i="48" s="1"/>
  <c r="K15" i="46" s="1"/>
  <c r="K16" i="46" s="1"/>
  <c r="L13" i="37" s="1"/>
  <c r="K11" i="46"/>
  <c r="K13" i="46" s="1"/>
  <c r="G4" i="47"/>
  <c r="K12" i="46" s="1"/>
  <c r="H12" i="46"/>
  <c r="H13" i="46" s="1"/>
  <c r="G7" i="45"/>
  <c r="K32" i="39"/>
  <c r="K34" i="39" s="1"/>
  <c r="L38" i="37" s="1"/>
  <c r="T33" i="24"/>
  <c r="K20" i="20"/>
  <c r="H29" i="20"/>
  <c r="D5" i="25"/>
  <c r="H21" i="20"/>
  <c r="G4" i="23"/>
  <c r="G5" i="23" s="1"/>
  <c r="F7" i="43"/>
  <c r="J25" i="39"/>
  <c r="J27" i="39" s="1"/>
  <c r="K36" i="37" s="1"/>
  <c r="G5" i="43"/>
  <c r="I23" i="39"/>
  <c r="J35" i="37" s="1"/>
  <c r="G5" i="42"/>
  <c r="F10" i="40"/>
  <c r="J11" i="39"/>
  <c r="Y58" i="40"/>
  <c r="F7" i="40"/>
  <c r="J13" i="39" s="1"/>
  <c r="Y45" i="41"/>
  <c r="Y47" i="41" s="1"/>
  <c r="F5" i="41"/>
  <c r="J23" i="39"/>
  <c r="K35" i="37" s="1"/>
  <c r="Y60" i="40"/>
  <c r="Z27" i="41"/>
  <c r="Z30" i="41" s="1"/>
  <c r="Z45" i="41" s="1"/>
  <c r="Z47" i="41" s="1"/>
  <c r="O57" i="40"/>
  <c r="D6" i="40"/>
  <c r="Z48" i="40"/>
  <c r="Z50" i="40" s="1"/>
  <c r="Z58" i="40" s="1"/>
  <c r="Z60" i="40" s="1"/>
  <c r="W59" i="21"/>
  <c r="V67" i="21"/>
  <c r="V88" i="21" s="1"/>
  <c r="V90" i="21" s="1"/>
  <c r="O31" i="26"/>
  <c r="I21" i="20"/>
  <c r="I22" i="20" s="1"/>
  <c r="J19" i="37" s="1"/>
  <c r="J20" i="37" s="1"/>
  <c r="E5" i="23"/>
  <c r="J11" i="37"/>
  <c r="S31" i="25"/>
  <c r="R35" i="25"/>
  <c r="R42" i="25" s="1"/>
  <c r="R43" i="25" s="1"/>
  <c r="E5" i="41"/>
  <c r="T45" i="41"/>
  <c r="T47" i="41" s="1"/>
  <c r="G32" i="20"/>
  <c r="G34" i="20" s="1"/>
  <c r="H31" i="37" s="1"/>
  <c r="H32" i="37" s="1"/>
  <c r="N47" i="26"/>
  <c r="D7" i="40"/>
  <c r="O58" i="40"/>
  <c r="G6" i="44"/>
  <c r="K29" i="39"/>
  <c r="K30" i="39" s="1"/>
  <c r="L37" i="37" s="1"/>
  <c r="S33" i="24"/>
  <c r="R37" i="24"/>
  <c r="R44" i="24" s="1"/>
  <c r="R45" i="24" s="1"/>
  <c r="K11" i="39"/>
  <c r="F7" i="45"/>
  <c r="J32" i="39"/>
  <c r="J34" i="39" s="1"/>
  <c r="K38" i="37" s="1"/>
  <c r="F6" i="41"/>
  <c r="J18" i="39" s="1"/>
  <c r="Y46" i="41"/>
  <c r="E32" i="20"/>
  <c r="E34" i="20" s="1"/>
  <c r="F31" i="37" s="1"/>
  <c r="L47" i="26"/>
  <c r="T46" i="41"/>
  <c r="E6" i="41"/>
  <c r="H26" i="20"/>
  <c r="I26" i="37" s="1"/>
  <c r="H14" i="20"/>
  <c r="K11" i="20"/>
  <c r="M47" i="26"/>
  <c r="F32" i="20"/>
  <c r="F34" i="20" s="1"/>
  <c r="G31" i="37" s="1"/>
  <c r="G32" i="37" s="1"/>
  <c r="D5" i="23"/>
  <c r="F32" i="37"/>
  <c r="Z20" i="42"/>
  <c r="I11" i="39"/>
  <c r="I15" i="39" s="1"/>
  <c r="E10" i="40"/>
  <c r="G5" i="47" l="1"/>
  <c r="D6" i="49"/>
  <c r="G3" i="49"/>
  <c r="H18" i="46"/>
  <c r="H21" i="46" s="1"/>
  <c r="H36" i="46" s="1"/>
  <c r="H38" i="46" s="1"/>
  <c r="H40" i="46" s="1"/>
  <c r="C5" i="38" s="1"/>
  <c r="J29" i="37"/>
  <c r="T37" i="24"/>
  <c r="J16" i="37"/>
  <c r="D3" i="26"/>
  <c r="O45" i="26"/>
  <c r="O47" i="26" s="1"/>
  <c r="Z31" i="26"/>
  <c r="Z45" i="26" s="1"/>
  <c r="Z47" i="26" s="1"/>
  <c r="G6" i="40"/>
  <c r="H12" i="39"/>
  <c r="D10" i="40"/>
  <c r="H30" i="20"/>
  <c r="I30" i="37" s="1"/>
  <c r="I18" i="39"/>
  <c r="G6" i="41"/>
  <c r="K18" i="39" s="1"/>
  <c r="O60" i="40"/>
  <c r="K25" i="39"/>
  <c r="K27" i="39" s="1"/>
  <c r="L36" i="37" s="1"/>
  <c r="G7" i="43"/>
  <c r="K21" i="20"/>
  <c r="K22" i="20"/>
  <c r="L19" i="37" s="1"/>
  <c r="L20" i="37" s="1"/>
  <c r="F7" i="41"/>
  <c r="J17" i="39"/>
  <c r="J19" i="39" s="1"/>
  <c r="K34" i="37" s="1"/>
  <c r="K39" i="37" s="1"/>
  <c r="I11" i="37"/>
  <c r="I27" i="37"/>
  <c r="U33" i="24"/>
  <c r="S37" i="24"/>
  <c r="S44" i="24" s="1"/>
  <c r="S45" i="24" s="1"/>
  <c r="G7" i="40"/>
  <c r="K13" i="39" s="1"/>
  <c r="H13" i="39"/>
  <c r="I17" i="39"/>
  <c r="E7" i="41"/>
  <c r="G5" i="41"/>
  <c r="U31" i="25"/>
  <c r="S35" i="25"/>
  <c r="S42" i="25" s="1"/>
  <c r="S43" i="25" s="1"/>
  <c r="T31" i="25"/>
  <c r="X59" i="21"/>
  <c r="X67" i="21" s="1"/>
  <c r="X88" i="21" s="1"/>
  <c r="X90" i="21" s="1"/>
  <c r="W67" i="21"/>
  <c r="W88" i="21" s="1"/>
  <c r="W90" i="21" s="1"/>
  <c r="J15" i="39"/>
  <c r="L35" i="37"/>
  <c r="H22" i="20"/>
  <c r="I19" i="37" s="1"/>
  <c r="I20" i="37" s="1"/>
  <c r="G6" i="49" l="1"/>
  <c r="K18" i="46"/>
  <c r="K21" i="46" s="1"/>
  <c r="K36" i="46" s="1"/>
  <c r="K38" i="46" s="1"/>
  <c r="K40" i="46" s="1"/>
  <c r="F5" i="38" s="1"/>
  <c r="V31" i="25"/>
  <c r="U35" i="25"/>
  <c r="U42" i="25" s="1"/>
  <c r="U43" i="25" s="1"/>
  <c r="K29" i="37"/>
  <c r="J38" i="39"/>
  <c r="T35" i="25"/>
  <c r="I16" i="37"/>
  <c r="H15" i="39"/>
  <c r="H32" i="20"/>
  <c r="D5" i="26"/>
  <c r="G3" i="26"/>
  <c r="G5" i="26" s="1"/>
  <c r="G7" i="41"/>
  <c r="K17" i="39"/>
  <c r="K19" i="39" s="1"/>
  <c r="L34" i="37" s="1"/>
  <c r="L39" i="37" s="1"/>
  <c r="E4" i="24"/>
  <c r="T44" i="24"/>
  <c r="T45" i="24" s="1"/>
  <c r="Y59" i="21"/>
  <c r="I19" i="39"/>
  <c r="U37" i="24"/>
  <c r="U44" i="24" s="1"/>
  <c r="U45" i="24" s="1"/>
  <c r="V33" i="24"/>
  <c r="K12" i="39"/>
  <c r="K15" i="39" s="1"/>
  <c r="G10" i="40"/>
  <c r="Y67" i="21" l="1"/>
  <c r="Y88" i="21" s="1"/>
  <c r="Z59" i="21"/>
  <c r="Z67" i="21" s="1"/>
  <c r="Z88" i="21" s="1"/>
  <c r="Z90" i="21" s="1"/>
  <c r="W31" i="25"/>
  <c r="V35" i="25"/>
  <c r="V42" i="25" s="1"/>
  <c r="V43" i="25" s="1"/>
  <c r="I25" i="20"/>
  <c r="E5" i="24"/>
  <c r="I29" i="37"/>
  <c r="H38" i="39"/>
  <c r="W33" i="24"/>
  <c r="V37" i="24"/>
  <c r="V44" i="24" s="1"/>
  <c r="V45" i="24" s="1"/>
  <c r="J39" i="39"/>
  <c r="K50" i="37" s="1"/>
  <c r="H34" i="20"/>
  <c r="K32" i="20"/>
  <c r="K34" i="20" s="1"/>
  <c r="L31" i="37" s="1"/>
  <c r="L29" i="37"/>
  <c r="K38" i="39"/>
  <c r="J34" i="37"/>
  <c r="J39" i="37" s="1"/>
  <c r="I38" i="39"/>
  <c r="T42" i="25"/>
  <c r="T43" i="25" s="1"/>
  <c r="E4" i="25"/>
  <c r="J40" i="39" l="1"/>
  <c r="E6" i="38" s="1"/>
  <c r="I29" i="20"/>
  <c r="E5" i="25"/>
  <c r="F6" i="21"/>
  <c r="Y90" i="21"/>
  <c r="I31" i="37"/>
  <c r="H39" i="20"/>
  <c r="X31" i="25"/>
  <c r="W35" i="25"/>
  <c r="W42" i="25" s="1"/>
  <c r="W43" i="25" s="1"/>
  <c r="I39" i="39"/>
  <c r="J50" i="37" s="1"/>
  <c r="X33" i="24"/>
  <c r="X37" i="24" s="1"/>
  <c r="X44" i="24" s="1"/>
  <c r="X45" i="24" s="1"/>
  <c r="W37" i="24"/>
  <c r="W44" i="24" s="1"/>
  <c r="W45" i="24" s="1"/>
  <c r="H39" i="39"/>
  <c r="I26" i="20"/>
  <c r="I32" i="37"/>
  <c r="Y33" i="24"/>
  <c r="I40" i="39" l="1"/>
  <c r="D6" i="38" s="1"/>
  <c r="I50" i="37"/>
  <c r="E50" i="37" s="1"/>
  <c r="F50" i="37" s="1"/>
  <c r="G50" i="37" s="1"/>
  <c r="H50" i="37" s="1"/>
  <c r="K39" i="39"/>
  <c r="H40" i="20"/>
  <c r="I45" i="37" s="1"/>
  <c r="H41" i="20"/>
  <c r="J12" i="20"/>
  <c r="F8" i="21"/>
  <c r="G6" i="21"/>
  <c r="G8" i="21" s="1"/>
  <c r="H40" i="39"/>
  <c r="C6" i="38" s="1"/>
  <c r="Y37" i="24"/>
  <c r="Z33" i="24"/>
  <c r="Z37" i="24" s="1"/>
  <c r="Z44" i="24" s="1"/>
  <c r="Z45" i="24" s="1"/>
  <c r="J26" i="37"/>
  <c r="J27" i="37" s="1"/>
  <c r="I39" i="20"/>
  <c r="X35" i="25"/>
  <c r="X42" i="25" s="1"/>
  <c r="X43" i="25" s="1"/>
  <c r="Y31" i="25"/>
  <c r="I30" i="20"/>
  <c r="J30" i="37" s="1"/>
  <c r="J32" i="37" s="1"/>
  <c r="F6" i="38" l="1"/>
  <c r="Y35" i="25"/>
  <c r="Z31" i="25"/>
  <c r="Z35" i="25" s="1"/>
  <c r="Z42" i="25" s="1"/>
  <c r="Z43" i="25" s="1"/>
  <c r="H42" i="20"/>
  <c r="H43" i="20"/>
  <c r="C4" i="38" s="1"/>
  <c r="E45" i="37"/>
  <c r="I40" i="20"/>
  <c r="J45" i="37" s="1"/>
  <c r="I41" i="20"/>
  <c r="F4" i="24"/>
  <c r="Y44" i="24"/>
  <c r="Y45" i="24" s="1"/>
  <c r="L50" i="37"/>
  <c r="K40" i="39"/>
  <c r="J14" i="20"/>
  <c r="K12" i="20"/>
  <c r="K14" i="20" s="1"/>
  <c r="C7" i="38" l="1"/>
  <c r="L11" i="37"/>
  <c r="L16" i="37" s="1"/>
  <c r="I48" i="37"/>
  <c r="K11" i="37"/>
  <c r="K16" i="37" s="1"/>
  <c r="I42" i="20"/>
  <c r="J48" i="37" s="1"/>
  <c r="J51" i="37"/>
  <c r="J53" i="37" s="1"/>
  <c r="J25" i="20"/>
  <c r="F5" i="24"/>
  <c r="G4" i="24"/>
  <c r="G5" i="24" s="1"/>
  <c r="G45" i="37"/>
  <c r="F45" i="37"/>
  <c r="F4" i="25"/>
  <c r="Y42" i="25"/>
  <c r="Y43" i="25" s="1"/>
  <c r="H45" i="37" l="1"/>
  <c r="J29" i="20"/>
  <c r="F5" i="25"/>
  <c r="G4" i="25"/>
  <c r="G5" i="25" s="1"/>
  <c r="J26" i="20"/>
  <c r="K25" i="20"/>
  <c r="K26" i="20" s="1"/>
  <c r="I43" i="20"/>
  <c r="D4" i="38" s="1"/>
  <c r="E48" i="37"/>
  <c r="I51" i="37"/>
  <c r="I53" i="37" s="1"/>
  <c r="D7" i="38" l="1"/>
  <c r="J30" i="20"/>
  <c r="K30" i="37" s="1"/>
  <c r="K32" i="37" s="1"/>
  <c r="K29" i="20"/>
  <c r="K30" i="20" s="1"/>
  <c r="L30" i="37" s="1"/>
  <c r="L32" i="37" s="1"/>
  <c r="L26" i="37"/>
  <c r="L27" i="37" s="1"/>
  <c r="K39" i="20"/>
  <c r="F48" i="37"/>
  <c r="E51" i="37"/>
  <c r="E53" i="37" s="1"/>
  <c r="K26" i="37"/>
  <c r="K27" i="37" s="1"/>
  <c r="J39" i="20"/>
  <c r="G48" i="37" l="1"/>
  <c r="F51" i="37"/>
  <c r="F53" i="37" s="1"/>
  <c r="J40" i="20"/>
  <c r="K45" i="37" s="1"/>
  <c r="J41" i="20"/>
  <c r="K40" i="20"/>
  <c r="L45" i="37" s="1"/>
  <c r="J42" i="20" l="1"/>
  <c r="J43" i="20"/>
  <c r="E4" i="38" s="1"/>
  <c r="K41" i="20"/>
  <c r="H48" i="37"/>
  <c r="H51" i="37" s="1"/>
  <c r="H53" i="37" s="1"/>
  <c r="G51" i="37"/>
  <c r="G53" i="37" s="1"/>
  <c r="E7" i="38" l="1"/>
  <c r="F4" i="38"/>
  <c r="F7" i="38" s="1"/>
  <c r="K48" i="37"/>
  <c r="K51" i="37" s="1"/>
  <c r="K53" i="37" s="1"/>
  <c r="K42" i="20"/>
  <c r="L48" i="37" s="1"/>
  <c r="L51" i="37" s="1"/>
  <c r="L53" i="37" s="1"/>
  <c r="K43" i="20" l="1"/>
</calcChain>
</file>

<file path=xl/sharedStrings.xml><?xml version="1.0" encoding="utf-8"?>
<sst xmlns="http://schemas.openxmlformats.org/spreadsheetml/2006/main" count="3978" uniqueCount="595">
  <si>
    <t>NAME OF PARTNER: WHO</t>
  </si>
  <si>
    <t>Project Title: GAVI HSS</t>
  </si>
  <si>
    <t>Duration: 2013-2015</t>
  </si>
  <si>
    <t>FUNDS ( In US $ Millions)</t>
  </si>
  <si>
    <t>Activity</t>
  </si>
  <si>
    <t>Description</t>
  </si>
  <si>
    <t>YR 1</t>
  </si>
  <si>
    <t>YR 2</t>
  </si>
  <si>
    <t>YR 3</t>
  </si>
  <si>
    <t>Total</t>
  </si>
  <si>
    <t>Sub Total</t>
  </si>
  <si>
    <t>5.3a</t>
  </si>
  <si>
    <t>5.3b</t>
  </si>
  <si>
    <t>5.5a</t>
  </si>
  <si>
    <t>5.5b</t>
  </si>
  <si>
    <t>Programme Activities</t>
  </si>
  <si>
    <t>Monitoring and Evaluation</t>
  </si>
  <si>
    <t xml:space="preserve">Total Programmable amount </t>
  </si>
  <si>
    <t>Programme Support Cost (@7% of total cost)</t>
  </si>
  <si>
    <t>Grand Total</t>
  </si>
  <si>
    <t>Recovery Cost (7%)</t>
  </si>
  <si>
    <t xml:space="preserve">Total Programme Cost </t>
  </si>
  <si>
    <t>TA (5%)</t>
  </si>
  <si>
    <t>Actual Programme Activities</t>
  </si>
  <si>
    <t>Per activity Deduction</t>
  </si>
  <si>
    <t>Recovery</t>
  </si>
  <si>
    <t>Year 1</t>
  </si>
  <si>
    <t>Year 2</t>
  </si>
  <si>
    <t>Year 3</t>
  </si>
  <si>
    <t>4.1.1</t>
  </si>
  <si>
    <t>4.1.2</t>
  </si>
  <si>
    <t xml:space="preserve">National/state level trainings workshops  </t>
  </si>
  <si>
    <t>Operational cost for these activities</t>
  </si>
  <si>
    <t>Programme Support Cost</t>
  </si>
  <si>
    <t>Work Plan</t>
  </si>
  <si>
    <t>Activities</t>
  </si>
  <si>
    <t>Q1</t>
  </si>
  <si>
    <t>Q2</t>
  </si>
  <si>
    <t>Q3</t>
  </si>
  <si>
    <t>Q4</t>
  </si>
  <si>
    <t>Grand</t>
  </si>
  <si>
    <t>Technical Officers</t>
  </si>
  <si>
    <t>Programme Assistants</t>
  </si>
  <si>
    <t>Data Support Staff</t>
  </si>
  <si>
    <t>Procurement of Equipment</t>
  </si>
  <si>
    <t>Consumables</t>
  </si>
  <si>
    <t>4.1.3 &amp; 4</t>
  </si>
  <si>
    <t>National Level Workshop</t>
  </si>
  <si>
    <t>State Level Workshop</t>
  </si>
  <si>
    <t>Head</t>
  </si>
  <si>
    <t>Unit Cost</t>
  </si>
  <si>
    <t>Number/days</t>
  </si>
  <si>
    <t>Frequency</t>
  </si>
  <si>
    <t>Percentage</t>
  </si>
  <si>
    <t>Total INR</t>
  </si>
  <si>
    <t>Total USD</t>
  </si>
  <si>
    <t>Subtotal</t>
  </si>
  <si>
    <t>Number</t>
  </si>
  <si>
    <t>Days</t>
  </si>
  <si>
    <t>Grand Totals</t>
  </si>
  <si>
    <t>4.1.3&amp;4</t>
  </si>
  <si>
    <t>Budget Assumptions</t>
  </si>
  <si>
    <t>S.N.</t>
  </si>
  <si>
    <t xml:space="preserve">Equipment </t>
  </si>
  <si>
    <t>Unit Cost (USD)</t>
  </si>
  <si>
    <t>INR</t>
  </si>
  <si>
    <t>Bio safety cabinet</t>
  </si>
  <si>
    <t>Simple Microscope</t>
  </si>
  <si>
    <t>Incubator</t>
  </si>
  <si>
    <t>Water Bath</t>
  </si>
  <si>
    <t>Centrifuge</t>
  </si>
  <si>
    <t xml:space="preserve">Electronic Balance </t>
  </si>
  <si>
    <t>pH Meter</t>
  </si>
  <si>
    <t>Autoclave</t>
  </si>
  <si>
    <t>Hot air oven</t>
  </si>
  <si>
    <t>Deep Freezer</t>
  </si>
  <si>
    <t>Refrigerator</t>
  </si>
  <si>
    <t>Water purification</t>
  </si>
  <si>
    <t>Magnetic stirrer</t>
  </si>
  <si>
    <t>Remark</t>
  </si>
  <si>
    <t>Unit</t>
  </si>
  <si>
    <t>USD</t>
  </si>
  <si>
    <t>International Participation</t>
  </si>
  <si>
    <t>International Experts or Participants</t>
  </si>
  <si>
    <t xml:space="preserve">a </t>
  </si>
  <si>
    <t>Technical Expert</t>
  </si>
  <si>
    <t>b</t>
  </si>
  <si>
    <t>Travel (Related Expenses)</t>
  </si>
  <si>
    <t xml:space="preserve">Travel </t>
  </si>
  <si>
    <t>Local Travel</t>
  </si>
  <si>
    <t>Lodging+DSA</t>
  </si>
  <si>
    <t>National Participants</t>
  </si>
  <si>
    <t>a</t>
  </si>
  <si>
    <t>Venue and Hall</t>
  </si>
  <si>
    <t>Travel</t>
  </si>
  <si>
    <t>c</t>
  </si>
  <si>
    <t>Lodging</t>
  </si>
  <si>
    <t>d</t>
  </si>
  <si>
    <t>Local Travel and DSA (to &amp; fro)</t>
  </si>
  <si>
    <t>e</t>
  </si>
  <si>
    <t>Facilitation</t>
  </si>
  <si>
    <t>f</t>
  </si>
  <si>
    <t>Sound and Recording</t>
  </si>
  <si>
    <t>g</t>
  </si>
  <si>
    <t>Reporting and printing</t>
  </si>
  <si>
    <t>Documentation</t>
  </si>
  <si>
    <t>h</t>
  </si>
  <si>
    <t>Miscellaneous</t>
  </si>
  <si>
    <t xml:space="preserve"> Experts or Master Trainers</t>
  </si>
  <si>
    <t>National Participants (Including Facilitators)</t>
  </si>
  <si>
    <t>Assuming all require</t>
  </si>
  <si>
    <t>Local Travel and DSA (To &amp; Fro)</t>
  </si>
  <si>
    <t>1 facilitators</t>
  </si>
  <si>
    <t>Human resources at national and state level (both technical and support staff)</t>
  </si>
  <si>
    <t>Technical Staff</t>
  </si>
  <si>
    <t>Technical Officers District level</t>
  </si>
  <si>
    <t>Technical Officers State Level</t>
  </si>
  <si>
    <t>Intensified RI Monitoring</t>
  </si>
  <si>
    <t>AFP surveillance, UIP reviews, Evaluations</t>
  </si>
  <si>
    <t>AFP Surveillance Review</t>
  </si>
  <si>
    <t>UIP Review</t>
  </si>
  <si>
    <t>Review Meetings</t>
  </si>
  <si>
    <t>AFP Surveillance Review (A)</t>
  </si>
  <si>
    <t>Total Cost per state</t>
  </si>
  <si>
    <t>Particulars</t>
  </si>
  <si>
    <t>Cost per reviewer-INR</t>
  </si>
  <si>
    <t>No. of reviewer/</t>
  </si>
  <si>
    <t>Travel cost-INR (to/fro)</t>
  </si>
  <si>
    <t>Per Diem &amp;refreshment (@INR 5,000/- per night per participant, for 7 nights)</t>
  </si>
  <si>
    <t>Taxi Hiring  (Team of 3 members per taxi)</t>
  </si>
  <si>
    <t>Total cost of 1 State</t>
  </si>
  <si>
    <t>Taxi Hiring  (Team of 2 members per taxi)</t>
  </si>
  <si>
    <t>Total cost of 1 review</t>
  </si>
  <si>
    <t>Operational Cost</t>
  </si>
  <si>
    <t>State Medical Officers</t>
  </si>
  <si>
    <t>5.5 a</t>
  </si>
  <si>
    <t>5.5 b</t>
  </si>
  <si>
    <t>days</t>
  </si>
  <si>
    <t>NAME OF PARTNER: UNICEF</t>
  </si>
  <si>
    <t>Recovery Charges (@7% of total cost)</t>
  </si>
  <si>
    <t>1.2.1</t>
  </si>
  <si>
    <t>1.2.2</t>
  </si>
  <si>
    <t>Train and Equip the UIP staff</t>
  </si>
  <si>
    <t>X</t>
  </si>
  <si>
    <t>1.2.1 a Establish the NCCVMRC at NIHFW, Delhi and NCCTC at Pune</t>
  </si>
  <si>
    <t xml:space="preserve">Name of the Technical position </t>
  </si>
  <si>
    <t>Unit Cost per month</t>
  </si>
  <si>
    <t>Number of Months</t>
  </si>
  <si>
    <t>Number of Years</t>
  </si>
  <si>
    <t>Senior Consultant &amp; NCCTC Coordinator</t>
  </si>
  <si>
    <t>Consultant- NCCTC</t>
  </si>
  <si>
    <t>Training Coordinator</t>
  </si>
  <si>
    <t>Software Specialists/ Data Analysts</t>
  </si>
  <si>
    <t>Travel costs- National CCC</t>
  </si>
  <si>
    <t>Travel costs- Training Coordinator</t>
  </si>
  <si>
    <t>Travel costs- Software Specialist/ Data Analyst</t>
  </si>
  <si>
    <t>Miscellaneous/ Stationary/ Communication</t>
  </si>
  <si>
    <t>1.2.1 b Study Tour to WHO Accredited Lab-Center - 7 days (Organised by NCCTC)</t>
  </si>
  <si>
    <t>Unit Cost INR</t>
  </si>
  <si>
    <t>Persona</t>
  </si>
  <si>
    <t>Numbers</t>
  </si>
  <si>
    <t>1.2.1 c Consultation meetings to develop 1. National Cold Chain Development Plan, 2. National Standards on Cold Chain System and 3. Standard Cold Chain equipment &amp; training modules/ Job-Aids</t>
  </si>
  <si>
    <t>Consultation</t>
  </si>
  <si>
    <t xml:space="preserve">1.2.2 a National ToT on Effective Cold Chain &amp; Vaccine Logistics Management (ECCVLM) </t>
  </si>
  <si>
    <t>TOT</t>
  </si>
  <si>
    <t>1.2.2 b ECCVLM Training (540 staff-National &amp; state, including Vaccine Logistics managers' Induction) 18 batches in 9 states</t>
  </si>
  <si>
    <t>ECCVLM Training</t>
  </si>
  <si>
    <t>1.2.2 c Induction training of 320 Cold Chain Technicians (CCT) / Cold Chain Consultants (CCC) in 9 batches</t>
  </si>
  <si>
    <t>1.2.1 c National Level Consultation - National Standards/ National Cold Chain Plan</t>
  </si>
  <si>
    <t>Experts Participation</t>
  </si>
  <si>
    <t>Experts or Participants</t>
  </si>
  <si>
    <t>Local Travel and DSA</t>
  </si>
  <si>
    <t>all 40</t>
  </si>
  <si>
    <t>1.2.2 a National  Level training of Trainers -ECCVLM</t>
  </si>
  <si>
    <t>State/ district Participants</t>
  </si>
  <si>
    <t>2 days</t>
  </si>
  <si>
    <t>Consultation &amp; proposal discussion with Med College/ agencies for monitoring and supportive supervision - 1 Event</t>
  </si>
  <si>
    <t>Orientation and briefing  x 9 States (9 Events)</t>
  </si>
  <si>
    <t>Half Yearly review meeting with monitors and sharing (2 times a year x 9 States)- 18 events per year</t>
  </si>
  <si>
    <t>Supportive supervision cum monitoring visits. 12 visits by 10 monitors per year for 2 years in 9 States @ INR 28,500 per visit</t>
  </si>
  <si>
    <t>State Participants</t>
  </si>
  <si>
    <t>Outstation participants</t>
  </si>
  <si>
    <t>Implement EVM improvement plans</t>
  </si>
  <si>
    <t>1.4.1</t>
  </si>
  <si>
    <t>1.4.2</t>
  </si>
  <si>
    <t>Nationwide rollout of the national cold chain MIS</t>
  </si>
  <si>
    <t>1.4.3</t>
  </si>
  <si>
    <t>Undertake Effective Vaccine Management (EVM) mission (Training, assessment, supportive supervision during assessment) in 9 States</t>
  </si>
  <si>
    <t>Undertake one National EVM mission (Training, assessment, supportive supervision during assessment)</t>
  </si>
  <si>
    <t>Development of National improvement plan (IP)</t>
  </si>
  <si>
    <t>Development of state improvement plans &amp; inclusion in state PIP (9 States)</t>
  </si>
  <si>
    <t>Annual review meetings to follow up on progress/ CCL improvements (National) - 2 reviews in 3 years period.</t>
  </si>
  <si>
    <t>Review meetings to follow up on progress/ CCL improvements (9 States) - 12 (2 reviews for 3 states &amp; 1 review for 6 states over a period of 3 years)</t>
  </si>
  <si>
    <t>Consultation meeting with state/ national staff - 1 event</t>
  </si>
  <si>
    <t>Development of additional module - One contract</t>
  </si>
  <si>
    <t>National review meetings 2 Events</t>
  </si>
  <si>
    <t>Consultation meeting with national &amp; state staff/ experts- 1 national event</t>
  </si>
  <si>
    <t>Develop VLMIS pilot tool and implementation in 1 GMSD/ states/ districts</t>
  </si>
  <si>
    <t>Review meetings- 3 events, bi-monthly to identify bugs, tweak features, reporting etc</t>
  </si>
  <si>
    <t>National ToT for 9 States / 4 Government Medical Store Depots (GMSDs)</t>
  </si>
  <si>
    <t>Organise /review 9 State level trainings</t>
  </si>
  <si>
    <t>National level review meetings - 2 events in 3 years (To be carried out along with NCCMIS reviews)</t>
  </si>
  <si>
    <t>State level half yearly review meetings in 9 States - 18 events (To be jointly carried out with NCCMIS reviews)</t>
  </si>
  <si>
    <t>Total for State EVM orientation</t>
  </si>
  <si>
    <t>Travel (TAXI)</t>
  </si>
  <si>
    <t>Lodging/ DSA</t>
  </si>
  <si>
    <t>Total for EVM field work at state level</t>
  </si>
  <si>
    <t>Total 12 teams</t>
  </si>
  <si>
    <t>Total for State EVM</t>
  </si>
  <si>
    <t>Total for National EVM Training</t>
  </si>
  <si>
    <t>Field Visit for National EVM (Team of 2, 5 days in the field)</t>
  </si>
  <si>
    <t>Persons</t>
  </si>
  <si>
    <t>%age</t>
  </si>
  <si>
    <t>Travel (Air)</t>
  </si>
  <si>
    <t>Local Travel  (Field)</t>
  </si>
  <si>
    <t>Total for EVM Field Work</t>
  </si>
  <si>
    <t>Total 25 teams</t>
  </si>
  <si>
    <t xml:space="preserve">Total for National EVM </t>
  </si>
  <si>
    <t>State Level Consultation - Improvement Plan / Review Meeting</t>
  </si>
  <si>
    <t>National Level Consultation - Improvement Plan / Review Meeting</t>
  </si>
  <si>
    <t>State  Level Annual NCCMIS Review Meeting</t>
  </si>
  <si>
    <t xml:space="preserve">National  IVLMS training of Trainers </t>
  </si>
  <si>
    <t>Institutional Capacity building to strengthen the cold chain system</t>
  </si>
  <si>
    <t>Walk in Cooler (WIC) / Walk in Freezer (WIF)</t>
  </si>
  <si>
    <t>Installation cost for WIC/WIF as per UNICEF Long Term Agreement (LTA) @ INR 300,000 each</t>
  </si>
  <si>
    <t>Ice-Lined Refrigerators (ILRs) / Deep Freezers (DFs) (400)</t>
  </si>
  <si>
    <t>Solar Powered ILRs/ Combined units (150)</t>
  </si>
  <si>
    <t>Wireless Temperature Monitoring Devices (US$ 100,000) for 50 Cold Rooms.</t>
  </si>
  <si>
    <t>Dataloggers (USB, WHO PQS) for assessments and studies.</t>
  </si>
  <si>
    <t>WIC/WIF spares for 3 GMSDs (US@80,000 per GMSD considering increase in price from 2010. 2010 pricelist enclosed)</t>
  </si>
  <si>
    <t>ILR/DF spares for 2 GMSDs (US$200,000 per GMSD considering increase in price from 2010. 2010 pricelist enclosed)</t>
  </si>
  <si>
    <t>Toolkit (District level) for Cold Chain Technicians (List enclosed)</t>
  </si>
  <si>
    <t>Spare parts for solar combined devices (Tentatively, for 3 GMSDs, for charge controllers, panels, battery, compressors, starting device.)</t>
  </si>
  <si>
    <t>Partnership with technical-academic institutes for research &amp; improvement in performance, safety, reliability and energy efficiency of cold chain equipment and system.</t>
  </si>
  <si>
    <t>Cold Chain Equipment and Spares</t>
  </si>
  <si>
    <t>Cold Chain Equipment/ Spares</t>
  </si>
  <si>
    <t>Units</t>
  </si>
  <si>
    <t>Unit price</t>
  </si>
  <si>
    <t>Cold Chain Equipment</t>
  </si>
  <si>
    <t>WIC/ WIFs</t>
  </si>
  <si>
    <t>WIC/WIF Installations</t>
  </si>
  <si>
    <t>ILRs/ DFs</t>
  </si>
  <si>
    <t>Solar DFs</t>
  </si>
  <si>
    <t>Wireless Temperature Monitoring Devices</t>
  </si>
  <si>
    <t>Dataloggers (USM/PQS) for assessments</t>
  </si>
  <si>
    <t>Spares</t>
  </si>
  <si>
    <t>WIC/WIF spares for 2 GMSDs</t>
  </si>
  <si>
    <t>ILR/DFs spares for 2 GMSDs</t>
  </si>
  <si>
    <t>Toolkits for district mechanics</t>
  </si>
  <si>
    <t>Spare parts for solar combined units for 4 GMSDs</t>
  </si>
  <si>
    <t>Partnership and Innovations</t>
  </si>
  <si>
    <t>Partnership with acedemic / technical institutes for research &amp; improvements in technology/ performance/ safety and reliability of cold chain equipment.</t>
  </si>
  <si>
    <t>State-level review meetings on the progress of planned activities (9)</t>
  </si>
  <si>
    <t xml:space="preserve">National-level review meetings for lessons learned exchanges </t>
  </si>
  <si>
    <t>Strengthening monitoring and reporting capacity of BCC managers</t>
  </si>
  <si>
    <t>State  Level Workshop on Development of Communication Strategy</t>
  </si>
  <si>
    <t xml:space="preserve">Contract to external agency [Orientation of Assessors for evidence generation at State  Level] </t>
  </si>
  <si>
    <t>State participants</t>
  </si>
  <si>
    <t>Travel (Taxi)</t>
  </si>
  <si>
    <t>5 teams of two persons</t>
  </si>
  <si>
    <t>Reporting &amp; documentation</t>
  </si>
  <si>
    <t>Support strengthening of state BCC units/set-ups</t>
  </si>
  <si>
    <t>Development of BCC tools and dissemination in 9 states (@120000)</t>
  </si>
  <si>
    <t>Increase IPC skills capacity of 80% of Trainers of Frontline Workers in 12 states (340 trainers @ 3 trainers per district)</t>
  </si>
  <si>
    <t>Exchange visits for learning experience followed with one day workshop</t>
  </si>
  <si>
    <t>3.3.1</t>
  </si>
  <si>
    <t>Professional agency fee for development of 2 TV and radio PSAs (As per UNICEF LTA rates)</t>
  </si>
  <si>
    <t>Pretesting fees for 2 TV and radio PSAs (Contract to external agency to pretest in 3 states for each of two TV spots)</t>
  </si>
  <si>
    <t xml:space="preserve">Dubbing, duplication and distribution of 4 PSAs into 4 different Indian languages </t>
  </si>
  <si>
    <t>3.3.2</t>
  </si>
  <si>
    <t>3.3.3</t>
  </si>
  <si>
    <t>Pretesting fees</t>
  </si>
  <si>
    <t>3.3.4</t>
  </si>
  <si>
    <t>3.3.5</t>
  </si>
  <si>
    <t>National Level Consultation Meeting with States/ Review Meetings during pilot implementation</t>
  </si>
  <si>
    <t>Medium</t>
  </si>
  <si>
    <t>rate per second</t>
  </si>
  <si>
    <t>Current Clip Seconds</t>
  </si>
  <si>
    <t>Remarks</t>
  </si>
  <si>
    <t>Network TV</t>
  </si>
  <si>
    <t>Telecast Twice a day for 60 days in 10 Networks</t>
  </si>
  <si>
    <t>Radio</t>
  </si>
  <si>
    <t>Telecast 6 times a day, 180 days, 9 states, 3 radio channels</t>
  </si>
  <si>
    <t>Cinema</t>
  </si>
  <si>
    <t>540000 (25 Theatre) - 9</t>
  </si>
  <si>
    <t>25 Theatres, 9 states</t>
  </si>
  <si>
    <t>3.4.1</t>
  </si>
  <si>
    <t>Hold national and state-level media workshops to sensitize electronic and print media personnel</t>
  </si>
  <si>
    <t>National workshop</t>
  </si>
  <si>
    <t>State workshops in 9 states</t>
  </si>
  <si>
    <t>3.4.2</t>
  </si>
  <si>
    <t>Media monitoring and tracking</t>
  </si>
  <si>
    <t>Professional fees for development of a media monitoring and tracking framework</t>
  </si>
  <si>
    <t>9 state workshops on media monitoring and tracking framework</t>
  </si>
  <si>
    <t>3.4.3</t>
  </si>
  <si>
    <t xml:space="preserve">National workshop </t>
  </si>
  <si>
    <t xml:space="preserve">9 state workshops </t>
  </si>
  <si>
    <t>3.4.4</t>
  </si>
  <si>
    <t xml:space="preserve">National AEFI Committee </t>
  </si>
  <si>
    <t>AEFI committee members in 9 States</t>
  </si>
  <si>
    <t>3.4.5</t>
  </si>
  <si>
    <t>National Level Workshop/ Meeting / Consultation</t>
  </si>
  <si>
    <t>State  Level Training / Meeting/ Consultation</t>
  </si>
  <si>
    <t>NAME OF PARTNER: UNDP</t>
  </si>
  <si>
    <t>Pilot the model in 10 low performing districts</t>
  </si>
  <si>
    <t>Scale up a system for SMS enabled real time MIS for cold chain and VLM</t>
  </si>
  <si>
    <t>Scale up SMS logger to all cold chain points in Bihar and Uttar Pradesh</t>
  </si>
  <si>
    <t>Human Resource and capacity buidling for vaccine Intelligence</t>
  </si>
  <si>
    <t>Capacity Buidling workshops and inititatives</t>
  </si>
  <si>
    <t>Periodically conduct qualitative and quantitative assessment on ongoing IEC/BCC interventions</t>
  </si>
  <si>
    <t>Analysis of media reporting at the end of 2013, 2014, and 2015.</t>
  </si>
  <si>
    <t>Expand Model based strategy development approaches to support policy decisions in seven additional states</t>
  </si>
  <si>
    <t>Development and Designing HERMES or similar dyanamic computer simulation model for vaccine supply chain</t>
  </si>
  <si>
    <t>Scale up use of the model based strategy development approaches such as HERMES in seven focus states</t>
  </si>
  <si>
    <t>Support Eveidence generation to assess the case of new antigens based on system readiness, avertable burden, programme costs and cost effectiveness</t>
  </si>
  <si>
    <t>Support research studes on vaccines</t>
  </si>
  <si>
    <t>GMS (@7% of total cost)</t>
  </si>
  <si>
    <t>1.1.1</t>
  </si>
  <si>
    <t>1.1.2</t>
  </si>
  <si>
    <t>1.1.3</t>
  </si>
  <si>
    <t>Idenfication of the 10 districts</t>
  </si>
  <si>
    <t>Development of the TOR</t>
  </si>
  <si>
    <t>Identification of Implementing agency</t>
  </si>
  <si>
    <t>Preparatory Assessments</t>
  </si>
  <si>
    <t>Development of operational Plans</t>
  </si>
  <si>
    <t>Initiation of Activities at the state level</t>
  </si>
  <si>
    <t>Initiation of the activitiees at the district level</t>
  </si>
  <si>
    <t>Setting up coordination centre at the district level</t>
  </si>
  <si>
    <t>Identification of Public and/or Private stakeholders</t>
  </si>
  <si>
    <t>Contractual and administrative agreements</t>
  </si>
  <si>
    <t>District level coordination</t>
  </si>
  <si>
    <t>Monitoring of activities</t>
  </si>
  <si>
    <t>Quarterly monitoring and progress meetings</t>
  </si>
  <si>
    <t>Documentation of activities</t>
  </si>
  <si>
    <t>Evaluation and assessments</t>
  </si>
  <si>
    <t>Developing at expert group to develop the benchmarks</t>
  </si>
  <si>
    <t>1 (4)</t>
  </si>
  <si>
    <t>Travel and Data collection</t>
  </si>
  <si>
    <t>Data Analysis</t>
  </si>
  <si>
    <t>Development of vaccine inventory management</t>
  </si>
  <si>
    <t>Piloting the vaccine management Inventory</t>
  </si>
  <si>
    <t>Finalisation of vaccine inventory management</t>
  </si>
  <si>
    <t>Printing</t>
  </si>
  <si>
    <t>Dissemination</t>
  </si>
  <si>
    <t>District Level Coordination</t>
  </si>
  <si>
    <t>Human Resources</t>
  </si>
  <si>
    <t>Rent and Maintainance</t>
  </si>
  <si>
    <t>Travel and Monitoring</t>
  </si>
  <si>
    <t>Meetings and workshops</t>
  </si>
  <si>
    <t>2.1.1</t>
  </si>
  <si>
    <t>2.1.2</t>
  </si>
  <si>
    <t>Idenfication of the district and cold chain points</t>
  </si>
  <si>
    <t>Device Cost</t>
  </si>
  <si>
    <t>Installation cost</t>
  </si>
  <si>
    <t>Running cost (includes website cost, SMS usage cost, etc.)</t>
  </si>
  <si>
    <t>Annual Maintainace Cost</t>
  </si>
  <si>
    <t>Monitoring &amp; Feedback</t>
  </si>
  <si>
    <t>Research &amp; Development</t>
  </si>
  <si>
    <t>Evaluation &amp; Assessment</t>
  </si>
  <si>
    <t>Developing the framework for monitoring systems</t>
  </si>
  <si>
    <t>Alligning the system with ongoing monitoring tools</t>
  </si>
  <si>
    <t>Development of the real time website</t>
  </si>
  <si>
    <t>Installing the device and codiing</t>
  </si>
  <si>
    <t>Piloting the website at select districts</t>
  </si>
  <si>
    <t>Up scale real time website to all districts</t>
  </si>
  <si>
    <t>Maintainace and Technical Assistance</t>
  </si>
  <si>
    <t>Development of Operational Manual</t>
  </si>
  <si>
    <t>Printing and Dissemination</t>
  </si>
  <si>
    <t>Installing the device and coding</t>
  </si>
  <si>
    <t>2.2.1</t>
  </si>
  <si>
    <t>2.2.2</t>
  </si>
  <si>
    <t>Indentification of consultant (s)</t>
  </si>
  <si>
    <t>Development of training Module</t>
  </si>
  <si>
    <t>Piloting the trainining modules</t>
  </si>
  <si>
    <t>Finalisation of training module</t>
  </si>
  <si>
    <t>Printing of the training modules</t>
  </si>
  <si>
    <t>National Level Consultation</t>
  </si>
  <si>
    <t>National Level Training of Trainers</t>
  </si>
  <si>
    <t>State level training of Trainers</t>
  </si>
  <si>
    <t>District Level Trainings</t>
  </si>
  <si>
    <t>Refresher Trainings</t>
  </si>
  <si>
    <t>Budget</t>
  </si>
  <si>
    <t>National Level Consultation or workshop</t>
  </si>
  <si>
    <t>National  Level training of Trainers workshops</t>
  </si>
  <si>
    <t>State  Level training of Trainers workshops</t>
  </si>
  <si>
    <t>3.5.1</t>
  </si>
  <si>
    <t>3.5.2</t>
  </si>
  <si>
    <t>Data Collection and assessment</t>
  </si>
  <si>
    <t>Complition of Media Reports</t>
  </si>
  <si>
    <t>Annual Analysis and Report</t>
  </si>
  <si>
    <t>Printing of Report</t>
  </si>
  <si>
    <t>4.2.1</t>
  </si>
  <si>
    <t>4.2.2</t>
  </si>
  <si>
    <t>Identification of the Agency</t>
  </si>
  <si>
    <t>Development of stimulation model</t>
  </si>
  <si>
    <t>Consultant Cost</t>
  </si>
  <si>
    <t>Supplies</t>
  </si>
  <si>
    <t>Field Offices</t>
  </si>
  <si>
    <t>Development Cost</t>
  </si>
  <si>
    <t>Consultant costs</t>
  </si>
  <si>
    <t>Travel (Internal/Domestic)</t>
  </si>
  <si>
    <t>Running Cost of field offices</t>
  </si>
  <si>
    <t>Item heads</t>
  </si>
  <si>
    <t>UP</t>
  </si>
  <si>
    <t>BH</t>
  </si>
  <si>
    <t>JH</t>
  </si>
  <si>
    <t>MP</t>
  </si>
  <si>
    <t>RJ</t>
  </si>
  <si>
    <t>CG</t>
  </si>
  <si>
    <t>GJ</t>
  </si>
  <si>
    <t xml:space="preserve">Total </t>
  </si>
  <si>
    <t>Districts</t>
  </si>
  <si>
    <t>CC points</t>
  </si>
  <si>
    <t>Study districts (1/3rd districts)</t>
  </si>
  <si>
    <t>Study CC points (1/3rd districts)</t>
  </si>
  <si>
    <t xml:space="preserve">Number of teams </t>
  </si>
  <si>
    <t>Days needed</t>
  </si>
  <si>
    <t>2 mons</t>
  </si>
  <si>
    <t>2 Mon</t>
  </si>
  <si>
    <t>1.5 mon</t>
  </si>
  <si>
    <t>2 mon</t>
  </si>
  <si>
    <t>3 Mon</t>
  </si>
  <si>
    <t>3 mon</t>
  </si>
  <si>
    <t xml:space="preserve">Cost of travel </t>
  </si>
  <si>
    <t>Contingency (food &amp; stationary)</t>
  </si>
  <si>
    <t xml:space="preserve">Stay </t>
  </si>
  <si>
    <t xml:space="preserve">Honorarium for study teams </t>
  </si>
  <si>
    <t xml:space="preserve">State coordinator honorarium </t>
  </si>
  <si>
    <t>Field office expenses</t>
  </si>
  <si>
    <t>4.3.1</t>
  </si>
  <si>
    <t>4.3.2</t>
  </si>
  <si>
    <t>Indentification of network participants</t>
  </si>
  <si>
    <t>Biannual Meeting</t>
  </si>
  <si>
    <t xml:space="preserve">Web Platform </t>
  </si>
  <si>
    <t>Development of TOR</t>
  </si>
  <si>
    <t>Identification of the Agency (S)</t>
  </si>
  <si>
    <t>Data Collection and Analysis</t>
  </si>
  <si>
    <t>Biannual Research Meeting</t>
  </si>
  <si>
    <t>Lumsum</t>
  </si>
  <si>
    <t>Miscalleneous</t>
  </si>
  <si>
    <t>Web Platform</t>
  </si>
  <si>
    <t>Coordinator</t>
  </si>
  <si>
    <t>Website Content and Development</t>
  </si>
  <si>
    <t>Maintainance</t>
  </si>
  <si>
    <t>Computer and IT issues</t>
  </si>
  <si>
    <t>Logictics</t>
  </si>
  <si>
    <t>Assistant</t>
  </si>
  <si>
    <t>Equipment and Maintainance</t>
  </si>
  <si>
    <t>Computers</t>
  </si>
  <si>
    <t>Printers</t>
  </si>
  <si>
    <t>Monitoring</t>
  </si>
  <si>
    <t>DSA</t>
  </si>
  <si>
    <t>Meetings and organisation</t>
  </si>
  <si>
    <t>Funds In US $ Millions</t>
  </si>
  <si>
    <t>Quarter 1</t>
  </si>
  <si>
    <t>Quarter 2</t>
  </si>
  <si>
    <t>Quarter 3</t>
  </si>
  <si>
    <t>Quarter 4</t>
  </si>
  <si>
    <t>WHO</t>
  </si>
  <si>
    <t>Leverage the success of the National Polio Surveillance Project to strengthen RI service delivery in 8 priority states</t>
  </si>
  <si>
    <t>Objective 5</t>
  </si>
  <si>
    <t>UNDP</t>
  </si>
  <si>
    <t>Strengthen the evidence base for improved policy-making (at all levels) on programmatic areas like procurement and vaccine delivery and on sequencing and adoption of new antigens</t>
  </si>
  <si>
    <t>Objective 4</t>
  </si>
  <si>
    <t>UNICEF</t>
  </si>
  <si>
    <t>Objective 3</t>
  </si>
  <si>
    <t>Design and implement an eVIN that will enable real time information on cold chain temperatures and vaccine stocks and flows</t>
  </si>
  <si>
    <t>Objective 2</t>
  </si>
  <si>
    <t>Objective 1</t>
  </si>
  <si>
    <t>Establish the NCCVMRC at NIHFW, Delhi and NCCTC at Pune</t>
  </si>
  <si>
    <t>Agency</t>
  </si>
  <si>
    <t>UNDP/WHO/UNICEF</t>
  </si>
  <si>
    <t>Technical Assistance (UNDP @ 5 %)</t>
  </si>
  <si>
    <t>Grant Management Services (UNDP @ 7% )</t>
  </si>
  <si>
    <t>Recovery Cost (UNICEF @ 7%)</t>
  </si>
  <si>
    <t>Programme Support Cost (WHO @ 7%)</t>
  </si>
  <si>
    <t>Sub- Total</t>
  </si>
  <si>
    <t>NAME OF PARTNERS : WHO, UNICEF, UNDP</t>
  </si>
  <si>
    <r>
      <t xml:space="preserve">National Level Consultation or workshop </t>
    </r>
    <r>
      <rPr>
        <b/>
        <u/>
        <sz val="11"/>
        <color indexed="8"/>
        <rFont val="Calibri"/>
        <family val="2"/>
        <scheme val="minor"/>
      </rPr>
      <t>(2 days workshop)</t>
    </r>
  </si>
  <si>
    <r>
      <t>State /District  Level training of Trainers workshops</t>
    </r>
    <r>
      <rPr>
        <b/>
        <u/>
        <sz val="11"/>
        <color indexed="8"/>
        <rFont val="Calibri"/>
        <family val="2"/>
        <scheme val="minor"/>
      </rPr>
      <t xml:space="preserve"> (2 days workshop)</t>
    </r>
  </si>
  <si>
    <t>Lead Implementers</t>
  </si>
  <si>
    <t>Budget for Year 1</t>
  </si>
  <si>
    <t>Budget for Year 2</t>
  </si>
  <si>
    <t>Budget for Year 3</t>
  </si>
  <si>
    <t>Implement Public-Private Partnership Models of Vaccine Logistics and Cold Chain Management</t>
  </si>
  <si>
    <t>Developmentment of Public-Private models involving private sectors based on best practices</t>
  </si>
  <si>
    <t>Establish benchmarks for vaccine inventory management</t>
  </si>
  <si>
    <t>Scale up a system for SMS-enabled real time MIS for cold chain and VLM</t>
  </si>
  <si>
    <t>Develop &amp; install monitoring systems at all levels (UP &amp; Bihar) to monitor real time vaccine stock situations, status of equipment and other transactions</t>
  </si>
  <si>
    <t>Strengthen vaccine logistics and cold chain management in poor performing states through public-private partnerships and through improved human resources capacity, institutional strengthening and supporting supervision</t>
  </si>
  <si>
    <t>Development of operational plans</t>
  </si>
  <si>
    <t>Human Resource and capacity buidling for vaccine intelligence</t>
  </si>
  <si>
    <t>Capacity buidling workshops and inititatives</t>
  </si>
  <si>
    <t>Development and piloting of training modules and curriculum</t>
  </si>
  <si>
    <t>Setup a research network</t>
  </si>
  <si>
    <t>Support research studies on vaccines</t>
  </si>
  <si>
    <t>Pilot and evaluate the model in 10 low performing districts</t>
  </si>
  <si>
    <t>Strengthening  laboratories for VPD surveillance</t>
  </si>
  <si>
    <t>5.3.1</t>
  </si>
  <si>
    <t>5.3.2</t>
  </si>
  <si>
    <t>Design a business model in detail with exact roles and responsibilities defined for outsourced agency and government officials</t>
  </si>
  <si>
    <t>2.1.2 &amp; 2.1.3</t>
  </si>
  <si>
    <t>Pilot and scale up monitoring systems at all levels (UP &amp; Bihar) to monitor real-time vaccine stock situations, status of equipment and other transactions</t>
  </si>
  <si>
    <t>Human resources at state and district levels (technical and support staff)</t>
  </si>
  <si>
    <t>Secretarial Support to ministry</t>
  </si>
  <si>
    <t>Programme Management</t>
  </si>
  <si>
    <t>Secretarial Support to the Ministry</t>
  </si>
  <si>
    <t>National M&amp;E plan</t>
  </si>
  <si>
    <t>Support specialized HR for BCC capacity development and implementation in 9 states</t>
  </si>
  <si>
    <t>Analyse media reporting at the end of 2014, 2015 &amp; 2016</t>
  </si>
  <si>
    <t>USD Unit Cost</t>
  </si>
  <si>
    <t>FUNDS (In US $ Millions)</t>
  </si>
  <si>
    <t>5a</t>
  </si>
  <si>
    <t>5b</t>
  </si>
  <si>
    <r>
      <t xml:space="preserve">Identification and enumeration of high risk populations
</t>
    </r>
    <r>
      <rPr>
        <sz val="11"/>
        <color theme="1"/>
        <rFont val="Calibri"/>
        <family val="2"/>
        <scheme val="minor"/>
      </rPr>
      <t>(no additional cost as human resources budgeted under component 5 shall contribute to this activity)</t>
    </r>
  </si>
  <si>
    <t xml:space="preserve">Human resources at the National level (4 technical/medical officers at national level; 3 program assistant and 4 data support staff) </t>
  </si>
  <si>
    <t>4.1.3 &amp;4</t>
  </si>
  <si>
    <t>Unit Cost/monthly remuneration</t>
  </si>
  <si>
    <t>-</t>
  </si>
  <si>
    <t>Human resources at national level (3 technical staff, one program assistant and 3 data support staff)</t>
  </si>
  <si>
    <t>Support Staff District level</t>
  </si>
  <si>
    <r>
      <t xml:space="preserve">Percentage </t>
    </r>
    <r>
      <rPr>
        <b/>
        <sz val="14"/>
        <color theme="1"/>
        <rFont val="Calibri"/>
        <family val="2"/>
        <scheme val="minor"/>
      </rPr>
      <t>*</t>
    </r>
  </si>
  <si>
    <r>
      <t>Technical Officers District level</t>
    </r>
    <r>
      <rPr>
        <b/>
        <sz val="14"/>
        <color theme="1"/>
        <rFont val="Calibri"/>
        <family val="2"/>
        <scheme val="minor"/>
      </rPr>
      <t xml:space="preserve"> *</t>
    </r>
  </si>
  <si>
    <r>
      <t>Support Staff District level</t>
    </r>
    <r>
      <rPr>
        <b/>
        <sz val="14"/>
        <color theme="1"/>
        <rFont val="Calibri"/>
        <family val="2"/>
        <scheme val="minor"/>
      </rPr>
      <t xml:space="preserve"> *</t>
    </r>
  </si>
  <si>
    <t>* 20%, 25% and 30% remuneration for year 1,2 and 3 respectively budgeted for supporting GAVI- HSS proposal</t>
  </si>
  <si>
    <t>5.2a</t>
  </si>
  <si>
    <t>Field Monitors</t>
  </si>
  <si>
    <t>Field Monitors *</t>
  </si>
  <si>
    <t>* 972 field monitors will be hired, 50% of their time  will be for supporting GAVI - HSS proposal.</t>
  </si>
  <si>
    <t>SDA Facility management and organization</t>
  </si>
  <si>
    <t xml:space="preserve">Build capacity of frontline workers at state and district levels in high priority states </t>
  </si>
  <si>
    <t>Technical Assistance (UNDP @ 5%) includes costs of 4 specialists for programme and operations assurance at Delhi and 1 each in the 8 project states</t>
  </si>
  <si>
    <t>HSS Secretarial Support for the ministry</t>
  </si>
  <si>
    <t>Development and Piloting of training modules and Curriculum</t>
  </si>
  <si>
    <t>Build the capacity of existing institutions at the national, state, district, and block levels in generating and interpreting evidence through measles and other VPD surveillance for improved policy-making</t>
  </si>
  <si>
    <t>Support Evidence generation to assess the case of new antigens based on system readiness, avertable burden, programme costs, and cost effectiveness</t>
  </si>
  <si>
    <t>Increase demand for RI through a national BCC strategy</t>
  </si>
  <si>
    <t>District Immunization Officers</t>
  </si>
  <si>
    <t>TA</t>
  </si>
  <si>
    <t>Improve Human Resources to improve cold chain performance</t>
  </si>
  <si>
    <t>Supportive Supervision to ensure quality implementation</t>
  </si>
  <si>
    <t>Support capacity building for supportive supervision/ field monitoring through consultants</t>
  </si>
  <si>
    <t>1.3.1 a Supportive Supervision</t>
  </si>
  <si>
    <t>support capacity building for supportive supervision/ field monitoring through consultants</t>
  </si>
  <si>
    <t>1.3.1 b Supportive Supervision</t>
  </si>
  <si>
    <t>Misc</t>
  </si>
  <si>
    <t>EVMs Conducted and PIPs implemented in Larger states</t>
  </si>
  <si>
    <t>Integration of VLM system based on existing models</t>
  </si>
  <si>
    <t>1.4.3 Integration of VLM system based on existing models</t>
  </si>
  <si>
    <t>1.4.1 EVMs Conducted and PIPs implemented in Larger states</t>
  </si>
  <si>
    <t>1.4.2 Nationwide rollout of the national cold chain MIS</t>
  </si>
  <si>
    <t>State level annual review meetings - 18 events (2 Review over 3 years period</t>
  </si>
  <si>
    <t>1.5.1</t>
  </si>
  <si>
    <t>Build Institutional Capacity of the NCCVMRC</t>
  </si>
  <si>
    <t>1.5.2</t>
  </si>
  <si>
    <t>Improve / operationalise existing cold chain equipment &amp; reduce sickness rate.</t>
  </si>
  <si>
    <t>1.5.1 Build Institutional Capacity of the NCCVMRC</t>
  </si>
  <si>
    <t>1.5.2 Improve / operationalise existing cold chain equipment &amp; reduce sickness rate.</t>
  </si>
  <si>
    <t>Implement Multi pronged national BCC strategy development and operational plans</t>
  </si>
  <si>
    <t>Support 12 states in developing evidence-based communication strategy plans through strategy development workshops</t>
  </si>
  <si>
    <t>National Level workshop on BCC startegy Development with state participation</t>
  </si>
  <si>
    <t>Enhance Infrastructure and HR Capacity to develop and implement BCC strategies</t>
  </si>
  <si>
    <t>Facilitate inter-state exposure visits for learning and experience sharing of BCC personnel from 11 states in two batches</t>
  </si>
  <si>
    <r>
      <t xml:space="preserve">Strengthen systems for effective inter personal communication and social mobilization </t>
    </r>
    <r>
      <rPr>
        <sz val="11"/>
        <color rgb="FF000000"/>
        <rFont val="Calibri"/>
        <family val="2"/>
        <scheme val="minor"/>
      </rPr>
      <t>using Polio social mobilization network (7000 x 2500 per month x 3 years /50%)</t>
    </r>
  </si>
  <si>
    <t xml:space="preserve">Support the capacity strengthening of selected CBOs/SHGs/State training agencies for effective IPC and community mobilization especially from underserved areas in 9 states </t>
  </si>
  <si>
    <t>Capacity building for effective IPC &amp; Community Mobilisation @ state level</t>
  </si>
  <si>
    <t>Develop and Broadcast immunisation messages through mass media</t>
  </si>
  <si>
    <t>Produce Two TV and radio PSAs highlighting key messages on RI</t>
  </si>
  <si>
    <t>Media planning and purchase of airtime for PSAs (Two TV and two radio spots braodcasting multiple times in 5 languages across 12 states - Contract to external agency)</t>
  </si>
  <si>
    <t>IEC Prototypes will be developed to enable Center and state for public branding of RI (Contract to external agency, as per UNICEF LTA rates)</t>
  </si>
  <si>
    <t>Support development and organisation of mid-media activities (432 events) in high-focus districts in 12 states (Contract to external agency)</t>
  </si>
  <si>
    <t>Produce an advocacy film (promo) on routine immunization highlighting the milestones achieved so far in RI (2-3 minutes in duration) which can be used on several platforms (Contyract to external agency as per UNICEF LTA)</t>
  </si>
  <si>
    <t xml:space="preserve">State  Level Training Programmes </t>
  </si>
  <si>
    <t xml:space="preserve">National  training of Trainers </t>
  </si>
  <si>
    <t xml:space="preserve">Contract to external agency [Pretesting of PSAs in 3 states] </t>
  </si>
  <si>
    <t>Promote advocacy with media for creating an enabling environment for increasing demand for RI services</t>
  </si>
  <si>
    <t xml:space="preserve">Advocacy workshops with Parliamentarians/CSOs/Pvt Sec </t>
  </si>
  <si>
    <t>Media handling Training of AEFI committee members</t>
  </si>
  <si>
    <t>Partnership with media institutions/associations for leveraging information for reaching remote areas (Under existing MoU with Indira Gandhi National Open University, raise contract to support the development of modules on Immunisation &amp; communication)</t>
  </si>
  <si>
    <t>Technical assistance- UNICEF</t>
  </si>
  <si>
    <t>Health Specialists in states and Delhi</t>
  </si>
  <si>
    <t>Technical Assistance - UNICEF</t>
  </si>
  <si>
    <t>Regional/ State workshops</t>
  </si>
  <si>
    <t>Rapid assessment for evidence gathering in selected states</t>
  </si>
  <si>
    <t xml:space="preserve">Digital documentation of communication activities in selected states </t>
  </si>
  <si>
    <t>Health Specialists in 9 States and Delhi (18 Specialists at 40% of their cost)</t>
  </si>
  <si>
    <t>Technical Assistance (Health specialists in 9 States and Delhi) @5% of total cost</t>
  </si>
  <si>
    <t>Supportive Supervision</t>
  </si>
  <si>
    <r>
      <rPr>
        <sz val="11"/>
        <color rgb="FFFF0000"/>
        <rFont val="Calibri"/>
        <family val="2"/>
        <scheme val="minor"/>
      </rPr>
      <t xml:space="preserve">Unit Cost/monthly remuneration </t>
    </r>
    <r>
      <rPr>
        <sz val="11"/>
        <rFont val="Calibri"/>
        <family val="2"/>
        <scheme val="minor"/>
      </rPr>
      <t>/ EM day cost</t>
    </r>
    <r>
      <rPr>
        <b/>
        <sz val="12"/>
        <rFont val="Calibri"/>
        <family val="2"/>
        <scheme val="minor"/>
      </rPr>
      <t>**</t>
    </r>
  </si>
  <si>
    <t>*22% of support services e.g. vehicle running &amp; maintenance and general operating cost (rent, stationery,  communication, courier services, housekeeping etc.) will be used to support technical activity for GAVI - HSS proposal. This budget will also contribute to other activities under component 5</t>
  </si>
  <si>
    <t># Deployment of External Monitors in high risk states where field monitors are not deployed</t>
  </si>
  <si>
    <t>** Unit Cost/monthly remuneration is for Field Monitors and per day External monitoring cost in high risk states</t>
  </si>
  <si>
    <t>5.2b</t>
  </si>
  <si>
    <t>External Monitoring in high risk states</t>
  </si>
  <si>
    <r>
      <t xml:space="preserve">External Monitoring in high risk states </t>
    </r>
    <r>
      <rPr>
        <i/>
        <sz val="11"/>
        <color theme="1"/>
        <rFont val="Calibri"/>
        <family val="2"/>
        <scheme val="minor"/>
      </rPr>
      <t>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</si>
</sst>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0.0"/>
    <numFmt numFmtId="167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3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2" xfId="0" applyFont="1" applyBorder="1"/>
    <xf numFmtId="0" fontId="0" fillId="0" borderId="0" xfId="0" applyFont="1" applyBorder="1"/>
    <xf numFmtId="0" fontId="11" fillId="10" borderId="2" xfId="0" applyFont="1" applyFill="1" applyBorder="1" applyAlignment="1">
      <alignment horizontal="center"/>
    </xf>
    <xf numFmtId="0" fontId="4" fillId="6" borderId="2" xfId="0" applyFont="1" applyFill="1" applyBorder="1"/>
    <xf numFmtId="0" fontId="0" fillId="9" borderId="2" xfId="0" applyFont="1" applyFill="1" applyBorder="1"/>
    <xf numFmtId="0" fontId="4" fillId="10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4" fillId="10" borderId="2" xfId="8" applyNumberFormat="1" applyFont="1" applyFill="1" applyBorder="1" applyAlignment="1"/>
    <xf numFmtId="164" fontId="4" fillId="10" borderId="2" xfId="8" applyNumberFormat="1" applyFont="1" applyFill="1" applyBorder="1"/>
    <xf numFmtId="164" fontId="4" fillId="6" borderId="2" xfId="8" applyNumberFormat="1" applyFont="1" applyFill="1" applyBorder="1"/>
    <xf numFmtId="164" fontId="4" fillId="0" borderId="2" xfId="8" applyNumberFormat="1" applyFont="1" applyBorder="1"/>
    <xf numFmtId="164" fontId="4" fillId="5" borderId="2" xfId="8" applyNumberFormat="1" applyFont="1" applyFill="1" applyBorder="1"/>
    <xf numFmtId="9" fontId="0" fillId="0" borderId="2" xfId="0" applyNumberFormat="1" applyFont="1" applyBorder="1"/>
    <xf numFmtId="43" fontId="4" fillId="10" borderId="2" xfId="8" applyNumberFormat="1" applyFont="1" applyFill="1" applyBorder="1"/>
    <xf numFmtId="0" fontId="0" fillId="5" borderId="2" xfId="0" applyFont="1" applyFill="1" applyBorder="1"/>
    <xf numFmtId="164" fontId="0" fillId="5" borderId="2" xfId="0" applyNumberFormat="1" applyFont="1" applyFill="1" applyBorder="1"/>
    <xf numFmtId="0" fontId="4" fillId="0" borderId="2" xfId="0" applyFont="1" applyBorder="1"/>
    <xf numFmtId="164" fontId="4" fillId="0" borderId="2" xfId="8" applyNumberFormat="1" applyFont="1" applyBorder="1" applyAlignment="1">
      <alignment horizontal="center"/>
    </xf>
    <xf numFmtId="164" fontId="4" fillId="0" borderId="2" xfId="8" applyNumberFormat="1" applyFont="1" applyBorder="1" applyAlignment="1"/>
    <xf numFmtId="164" fontId="4" fillId="0" borderId="2" xfId="8" applyNumberFormat="1" applyFont="1" applyFill="1" applyBorder="1"/>
    <xf numFmtId="164" fontId="0" fillId="0" borderId="2" xfId="0" applyNumberFormat="1" applyFont="1" applyBorder="1"/>
    <xf numFmtId="164" fontId="4" fillId="0" borderId="2" xfId="0" applyNumberFormat="1" applyFont="1" applyBorder="1"/>
    <xf numFmtId="0" fontId="4" fillId="7" borderId="2" xfId="0" applyFont="1" applyFill="1" applyBorder="1"/>
    <xf numFmtId="9" fontId="4" fillId="7" borderId="2" xfId="0" applyNumberFormat="1" applyFont="1" applyFill="1" applyBorder="1"/>
    <xf numFmtId="0" fontId="4" fillId="7" borderId="2" xfId="0" applyFont="1" applyFill="1" applyBorder="1" applyAlignment="1">
      <alignment horizontal="center"/>
    </xf>
    <xf numFmtId="164" fontId="1" fillId="0" borderId="2" xfId="4" applyNumberFormat="1" applyFont="1" applyBorder="1"/>
    <xf numFmtId="164" fontId="1" fillId="15" borderId="2" xfId="4" applyNumberFormat="1" applyFont="1" applyFill="1" applyBorder="1"/>
    <xf numFmtId="164" fontId="1" fillId="0" borderId="2" xfId="4" applyNumberFormat="1" applyFont="1" applyFill="1" applyBorder="1"/>
    <xf numFmtId="164" fontId="1" fillId="16" borderId="2" xfId="4" applyNumberFormat="1" applyFont="1" applyFill="1" applyBorder="1"/>
    <xf numFmtId="43" fontId="0" fillId="0" borderId="0" xfId="0" applyNumberFormat="1" applyFont="1"/>
    <xf numFmtId="0" fontId="11" fillId="10" borderId="3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5" fillId="2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2" borderId="0" xfId="0" applyFont="1" applyFill="1" applyBorder="1"/>
    <xf numFmtId="0" fontId="1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2" xfId="0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2" fontId="4" fillId="5" borderId="2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left" vertical="top" wrapText="1"/>
    </xf>
    <xf numFmtId="2" fontId="4" fillId="6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6" borderId="3" xfId="0" applyFont="1" applyFill="1" applyBorder="1" applyAlignment="1">
      <alignment horizontal="right" vertical="top" wrapText="1"/>
    </xf>
    <xf numFmtId="2" fontId="4" fillId="0" borderId="0" xfId="0" applyNumberFormat="1" applyFont="1"/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64" fontId="0" fillId="0" borderId="2" xfId="0" applyNumberFormat="1" applyFont="1" applyBorder="1" applyAlignment="1">
      <alignment horizontal="center" vertical="top"/>
    </xf>
    <xf numFmtId="0" fontId="4" fillId="5" borderId="2" xfId="0" applyFont="1" applyFill="1" applyBorder="1" applyAlignment="1">
      <alignment horizontal="left" vertical="top" wrapText="1"/>
    </xf>
    <xf numFmtId="164" fontId="4" fillId="5" borderId="2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top"/>
    </xf>
    <xf numFmtId="164" fontId="4" fillId="15" borderId="2" xfId="1" applyNumberFormat="1" applyFont="1" applyFill="1" applyBorder="1" applyAlignment="1">
      <alignment horizontal="center"/>
    </xf>
    <xf numFmtId="164" fontId="4" fillId="15" borderId="2" xfId="1" applyNumberFormat="1" applyFont="1" applyFill="1" applyBorder="1"/>
    <xf numFmtId="164" fontId="4" fillId="6" borderId="2" xfId="1" applyNumberFormat="1" applyFont="1" applyFill="1" applyBorder="1"/>
    <xf numFmtId="0" fontId="13" fillId="2" borderId="2" xfId="0" applyFont="1" applyFill="1" applyBorder="1" applyAlignment="1">
      <alignment horizontal="center" vertical="top"/>
    </xf>
    <xf numFmtId="0" fontId="0" fillId="2" borderId="2" xfId="0" applyFont="1" applyFill="1" applyBorder="1"/>
    <xf numFmtId="164" fontId="0" fillId="9" borderId="2" xfId="1" applyNumberFormat="1" applyFont="1" applyFill="1" applyBorder="1"/>
    <xf numFmtId="164" fontId="0" fillId="15" borderId="2" xfId="1" applyNumberFormat="1" applyFont="1" applyFill="1" applyBorder="1"/>
    <xf numFmtId="0" fontId="0" fillId="15" borderId="2" xfId="0" applyFont="1" applyFill="1" applyBorder="1"/>
    <xf numFmtId="0" fontId="0" fillId="6" borderId="2" xfId="0" applyFont="1" applyFill="1" applyBorder="1"/>
    <xf numFmtId="164" fontId="4" fillId="15" borderId="7" xfId="1" applyNumberFormat="1" applyFont="1" applyFill="1" applyBorder="1" applyAlignment="1">
      <alignment horizontal="center"/>
    </xf>
    <xf numFmtId="164" fontId="4" fillId="15" borderId="7" xfId="1" applyNumberFormat="1" applyFont="1" applyFill="1" applyBorder="1"/>
    <xf numFmtId="164" fontId="4" fillId="6" borderId="7" xfId="1" applyNumberFormat="1" applyFont="1" applyFill="1" applyBorder="1"/>
    <xf numFmtId="0" fontId="4" fillId="7" borderId="2" xfId="0" applyFont="1" applyFill="1" applyBorder="1" applyAlignment="1">
      <alignment wrapText="1"/>
    </xf>
    <xf numFmtId="0" fontId="4" fillId="7" borderId="2" xfId="0" applyFont="1" applyFill="1" applyBorder="1" applyAlignment="1">
      <alignment horizontal="center" wrapText="1"/>
    </xf>
    <xf numFmtId="164" fontId="0" fillId="0" borderId="2" xfId="1" applyNumberFormat="1" applyFont="1" applyBorder="1"/>
    <xf numFmtId="0" fontId="0" fillId="0" borderId="2" xfId="0" applyFont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164" fontId="0" fillId="0" borderId="2" xfId="3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165" fontId="0" fillId="0" borderId="2" xfId="0" applyNumberFormat="1" applyFont="1" applyBorder="1" applyAlignment="1">
      <alignment vertical="top" wrapText="1"/>
    </xf>
    <xf numFmtId="0" fontId="0" fillId="0" borderId="0" xfId="0" applyFont="1" applyFill="1"/>
    <xf numFmtId="0" fontId="0" fillId="0" borderId="2" xfId="0" applyFont="1" applyFill="1" applyBorder="1"/>
    <xf numFmtId="0" fontId="4" fillId="0" borderId="0" xfId="0" applyFont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vertical="center" wrapText="1"/>
    </xf>
    <xf numFmtId="164" fontId="4" fillId="5" borderId="2" xfId="1" applyNumberFormat="1" applyFont="1" applyFill="1" applyBorder="1" applyAlignment="1">
      <alignment vertical="center" wrapText="1"/>
    </xf>
    <xf numFmtId="0" fontId="4" fillId="2" borderId="8" xfId="0" applyFont="1" applyFill="1" applyBorder="1" applyAlignment="1"/>
    <xf numFmtId="0" fontId="4" fillId="2" borderId="8" xfId="0" applyFont="1" applyFill="1" applyBorder="1"/>
    <xf numFmtId="0" fontId="4" fillId="7" borderId="5" xfId="0" applyFont="1" applyFill="1" applyBorder="1"/>
    <xf numFmtId="0" fontId="0" fillId="2" borderId="8" xfId="0" applyFont="1" applyFill="1" applyBorder="1" applyAlignment="1"/>
    <xf numFmtId="0" fontId="0" fillId="14" borderId="5" xfId="0" applyFont="1" applyFill="1" applyBorder="1" applyAlignment="1"/>
    <xf numFmtId="0" fontId="0" fillId="14" borderId="2" xfId="0" applyFont="1" applyFill="1" applyBorder="1" applyAlignment="1"/>
    <xf numFmtId="0" fontId="0" fillId="14" borderId="2" xfId="0" applyFont="1" applyFill="1" applyBorder="1"/>
    <xf numFmtId="9" fontId="0" fillId="14" borderId="2" xfId="0" applyNumberFormat="1" applyFont="1" applyFill="1" applyBorder="1"/>
    <xf numFmtId="0" fontId="0" fillId="2" borderId="8" xfId="0" applyFont="1" applyFill="1" applyBorder="1"/>
    <xf numFmtId="0" fontId="0" fillId="0" borderId="5" xfId="0" applyFont="1" applyBorder="1"/>
    <xf numFmtId="164" fontId="0" fillId="0" borderId="2" xfId="3" applyNumberFormat="1" applyFont="1" applyBorder="1"/>
    <xf numFmtId="165" fontId="0" fillId="0" borderId="2" xfId="0" applyNumberFormat="1" applyFont="1" applyBorder="1"/>
    <xf numFmtId="165" fontId="0" fillId="15" borderId="2" xfId="0" applyNumberFormat="1" applyFont="1" applyFill="1" applyBorder="1"/>
    <xf numFmtId="165" fontId="0" fillId="6" borderId="2" xfId="0" applyNumberFormat="1" applyFont="1" applyFill="1" applyBorder="1"/>
    <xf numFmtId="0" fontId="4" fillId="5" borderId="5" xfId="0" applyFont="1" applyFill="1" applyBorder="1"/>
    <xf numFmtId="0" fontId="4" fillId="5" borderId="2" xfId="0" applyFont="1" applyFill="1" applyBorder="1"/>
    <xf numFmtId="164" fontId="4" fillId="5" borderId="2" xfId="3" applyNumberFormat="1" applyFont="1" applyFill="1" applyBorder="1"/>
    <xf numFmtId="9" fontId="4" fillId="5" borderId="2" xfId="0" applyNumberFormat="1" applyFont="1" applyFill="1" applyBorder="1"/>
    <xf numFmtId="164" fontId="4" fillId="5" borderId="2" xfId="0" applyNumberFormat="1" applyFont="1" applyFill="1" applyBorder="1"/>
    <xf numFmtId="165" fontId="0" fillId="5" borderId="2" xfId="0" applyNumberFormat="1" applyFont="1" applyFill="1" applyBorder="1"/>
    <xf numFmtId="164" fontId="0" fillId="15" borderId="2" xfId="0" applyNumberFormat="1" applyFont="1" applyFill="1" applyBorder="1"/>
    <xf numFmtId="164" fontId="0" fillId="15" borderId="2" xfId="3" applyNumberFormat="1" applyFont="1" applyFill="1" applyBorder="1"/>
    <xf numFmtId="9" fontId="0" fillId="15" borderId="2" xfId="0" applyNumberFormat="1" applyFont="1" applyFill="1" applyBorder="1"/>
    <xf numFmtId="164" fontId="0" fillId="0" borderId="2" xfId="3" applyNumberFormat="1" applyFont="1" applyFill="1" applyBorder="1"/>
    <xf numFmtId="9" fontId="0" fillId="0" borderId="2" xfId="0" applyNumberFormat="1" applyFont="1" applyFill="1" applyBorder="1"/>
    <xf numFmtId="164" fontId="0" fillId="0" borderId="2" xfId="0" applyNumberFormat="1" applyFont="1" applyFill="1" applyBorder="1"/>
    <xf numFmtId="0" fontId="0" fillId="16" borderId="2" xfId="0" applyFont="1" applyFill="1" applyBorder="1"/>
    <xf numFmtId="164" fontId="0" fillId="16" borderId="2" xfId="3" applyNumberFormat="1" applyFont="1" applyFill="1" applyBorder="1"/>
    <xf numFmtId="9" fontId="0" fillId="16" borderId="2" xfId="0" applyNumberFormat="1" applyFont="1" applyFill="1" applyBorder="1"/>
    <xf numFmtId="0" fontId="0" fillId="0" borderId="0" xfId="0" applyFont="1" applyAlignment="1">
      <alignment wrapText="1"/>
    </xf>
    <xf numFmtId="9" fontId="0" fillId="6" borderId="2" xfId="0" applyNumberFormat="1" applyFont="1" applyFill="1" applyBorder="1"/>
    <xf numFmtId="164" fontId="0" fillId="6" borderId="2" xfId="0" applyNumberFormat="1" applyFont="1" applyFill="1" applyBorder="1"/>
    <xf numFmtId="43" fontId="0" fillId="0" borderId="2" xfId="0" applyNumberFormat="1" applyFont="1" applyBorder="1"/>
    <xf numFmtId="164" fontId="0" fillId="0" borderId="0" xfId="0" applyNumberFormat="1" applyFont="1"/>
    <xf numFmtId="0" fontId="13" fillId="2" borderId="0" xfId="0" applyFont="1" applyFill="1" applyBorder="1" applyAlignment="1">
      <alignment horizontal="center" vertical="top"/>
    </xf>
    <xf numFmtId="164" fontId="4" fillId="10" borderId="2" xfId="1" applyNumberFormat="1" applyFont="1" applyFill="1" applyBorder="1" applyAlignment="1">
      <alignment horizontal="center"/>
    </xf>
    <xf numFmtId="164" fontId="4" fillId="10" borderId="2" xfId="1" applyNumberFormat="1" applyFont="1" applyFill="1" applyBorder="1"/>
    <xf numFmtId="0" fontId="0" fillId="10" borderId="2" xfId="0" applyFont="1" applyFill="1" applyBorder="1"/>
    <xf numFmtId="0" fontId="13" fillId="2" borderId="2" xfId="0" applyFont="1" applyFill="1" applyBorder="1" applyAlignment="1">
      <alignment horizontal="left" vertical="top"/>
    </xf>
    <xf numFmtId="164" fontId="4" fillId="10" borderId="7" xfId="1" applyNumberFormat="1" applyFont="1" applyFill="1" applyBorder="1" applyAlignment="1">
      <alignment horizontal="center"/>
    </xf>
    <xf numFmtId="164" fontId="4" fillId="10" borderId="7" xfId="1" applyNumberFormat="1" applyFont="1" applyFill="1" applyBorder="1"/>
    <xf numFmtId="164" fontId="0" fillId="10" borderId="2" xfId="1" applyNumberFormat="1" applyFont="1" applyFill="1" applyBorder="1"/>
    <xf numFmtId="0" fontId="0" fillId="2" borderId="2" xfId="0" applyFont="1" applyFill="1" applyBorder="1" applyAlignment="1">
      <alignment wrapText="1"/>
    </xf>
    <xf numFmtId="164" fontId="0" fillId="2" borderId="2" xfId="3" applyNumberFormat="1" applyFont="1" applyFill="1" applyBorder="1" applyAlignment="1">
      <alignment vertical="top" wrapText="1"/>
    </xf>
    <xf numFmtId="164" fontId="0" fillId="2" borderId="2" xfId="0" applyNumberFormat="1" applyFont="1" applyFill="1" applyBorder="1" applyAlignment="1">
      <alignment vertical="top" wrapText="1"/>
    </xf>
    <xf numFmtId="165" fontId="0" fillId="2" borderId="2" xfId="0" applyNumberFormat="1" applyFont="1" applyFill="1" applyBorder="1" applyAlignment="1">
      <alignment vertical="top" wrapText="1"/>
    </xf>
    <xf numFmtId="164" fontId="0" fillId="2" borderId="2" xfId="1" applyNumberFormat="1" applyFont="1" applyFill="1" applyBorder="1"/>
    <xf numFmtId="0" fontId="0" fillId="2" borderId="0" xfId="0" applyFont="1" applyFill="1"/>
    <xf numFmtId="0" fontId="0" fillId="0" borderId="9" xfId="0" applyFont="1" applyFill="1" applyBorder="1"/>
    <xf numFmtId="0" fontId="4" fillId="2" borderId="2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/>
    </xf>
    <xf numFmtId="0" fontId="0" fillId="0" borderId="2" xfId="0" applyFont="1" applyBorder="1" applyAlignment="1"/>
    <xf numFmtId="0" fontId="0" fillId="2" borderId="2" xfId="0" applyFont="1" applyFill="1" applyBorder="1" applyAlignment="1"/>
    <xf numFmtId="0" fontId="13" fillId="5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vertical="top" wrapText="1"/>
    </xf>
    <xf numFmtId="164" fontId="4" fillId="5" borderId="2" xfId="0" applyNumberFormat="1" applyFont="1" applyFill="1" applyBorder="1" applyAlignment="1">
      <alignment vertical="top"/>
    </xf>
    <xf numFmtId="0" fontId="0" fillId="5" borderId="2" xfId="0" applyFont="1" applyFill="1" applyBorder="1" applyAlignment="1"/>
    <xf numFmtId="43" fontId="0" fillId="10" borderId="2" xfId="1" applyNumberFormat="1" applyFont="1" applyFill="1" applyBorder="1"/>
    <xf numFmtId="0" fontId="0" fillId="0" borderId="2" xfId="0" applyFont="1" applyBorder="1" applyAlignment="1">
      <alignment wrapText="1"/>
    </xf>
    <xf numFmtId="1" fontId="0" fillId="0" borderId="2" xfId="0" applyNumberFormat="1" applyFont="1" applyBorder="1"/>
    <xf numFmtId="165" fontId="0" fillId="10" borderId="2" xfId="0" applyNumberFormat="1" applyFont="1" applyFill="1" applyBorder="1"/>
    <xf numFmtId="164" fontId="0" fillId="10" borderId="2" xfId="0" applyNumberFormat="1" applyFont="1" applyFill="1" applyBorder="1"/>
    <xf numFmtId="43" fontId="0" fillId="10" borderId="2" xfId="0" applyNumberFormat="1" applyFont="1" applyFill="1" applyBorder="1"/>
    <xf numFmtId="164" fontId="0" fillId="5" borderId="2" xfId="1" applyNumberFormat="1" applyFont="1" applyFill="1" applyBorder="1"/>
    <xf numFmtId="164" fontId="0" fillId="0" borderId="2" xfId="1" applyNumberFormat="1" applyFont="1" applyFill="1" applyBorder="1"/>
    <xf numFmtId="164" fontId="0" fillId="16" borderId="2" xfId="1" applyNumberFormat="1" applyFont="1" applyFill="1" applyBorder="1"/>
    <xf numFmtId="164" fontId="0" fillId="6" borderId="2" xfId="1" applyNumberFormat="1" applyFont="1" applyFill="1" applyBorder="1"/>
    <xf numFmtId="9" fontId="0" fillId="5" borderId="2" xfId="0" applyNumberFormat="1" applyFont="1" applyFill="1" applyBorder="1"/>
    <xf numFmtId="9" fontId="4" fillId="6" borderId="2" xfId="0" applyNumberFormat="1" applyFont="1" applyFill="1" applyBorder="1"/>
    <xf numFmtId="0" fontId="0" fillId="16" borderId="3" xfId="0" applyFont="1" applyFill="1" applyBorder="1" applyAlignment="1"/>
    <xf numFmtId="0" fontId="0" fillId="16" borderId="4" xfId="0" applyFont="1" applyFill="1" applyBorder="1" applyAlignment="1"/>
    <xf numFmtId="0" fontId="0" fillId="16" borderId="5" xfId="0" applyFont="1" applyFill="1" applyBorder="1" applyAlignment="1"/>
    <xf numFmtId="0" fontId="14" fillId="2" borderId="0" xfId="0" applyFont="1" applyFill="1" applyBorder="1"/>
    <xf numFmtId="9" fontId="14" fillId="2" borderId="0" xfId="0" applyNumberFormat="1" applyFont="1" applyFill="1" applyBorder="1"/>
    <xf numFmtId="164" fontId="14" fillId="2" borderId="0" xfId="0" applyNumberFormat="1" applyFont="1" applyFill="1" applyBorder="1"/>
    <xf numFmtId="164" fontId="4" fillId="6" borderId="2" xfId="0" applyNumberFormat="1" applyFont="1" applyFill="1" applyBorder="1"/>
    <xf numFmtId="0" fontId="4" fillId="15" borderId="2" xfId="0" applyFont="1" applyFill="1" applyBorder="1"/>
    <xf numFmtId="164" fontId="4" fillId="5" borderId="2" xfId="0" applyNumberFormat="1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top" wrapText="1"/>
    </xf>
    <xf numFmtId="43" fontId="4" fillId="10" borderId="2" xfId="1" applyNumberFormat="1" applyFont="1" applyFill="1" applyBorder="1"/>
    <xf numFmtId="0" fontId="0" fillId="2" borderId="7" xfId="0" applyFont="1" applyFill="1" applyBorder="1" applyAlignment="1">
      <alignment wrapText="1"/>
    </xf>
    <xf numFmtId="0" fontId="4" fillId="17" borderId="2" xfId="0" applyFont="1" applyFill="1" applyBorder="1"/>
    <xf numFmtId="0" fontId="0" fillId="18" borderId="2" xfId="0" applyFont="1" applyFill="1" applyBorder="1"/>
    <xf numFmtId="164" fontId="0" fillId="18" borderId="2" xfId="1" applyNumberFormat="1" applyFont="1" applyFill="1" applyBorder="1"/>
    <xf numFmtId="0" fontId="0" fillId="19" borderId="2" xfId="0" applyFont="1" applyFill="1" applyBorder="1"/>
    <xf numFmtId="0" fontId="0" fillId="0" borderId="2" xfId="0" applyFont="1" applyBorder="1" applyAlignment="1">
      <alignment vertical="top"/>
    </xf>
    <xf numFmtId="0" fontId="13" fillId="0" borderId="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66" fontId="12" fillId="0" borderId="2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vertical="center" wrapText="1"/>
    </xf>
    <xf numFmtId="9" fontId="0" fillId="0" borderId="2" xfId="0" applyNumberFormat="1" applyFont="1" applyBorder="1" applyAlignment="1">
      <alignment vertical="top" wrapText="1"/>
    </xf>
    <xf numFmtId="43" fontId="0" fillId="15" borderId="2" xfId="1" applyNumberFormat="1" applyFont="1" applyFill="1" applyBorder="1"/>
    <xf numFmtId="0" fontId="13" fillId="0" borderId="7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2" xfId="0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vertical="top" wrapText="1"/>
    </xf>
    <xf numFmtId="0" fontId="13" fillId="2" borderId="2" xfId="0" applyFont="1" applyFill="1" applyBorder="1" applyAlignment="1">
      <alignment horizontal="left" vertical="top" wrapText="1"/>
    </xf>
    <xf numFmtId="0" fontId="0" fillId="11" borderId="2" xfId="0" applyFont="1" applyFill="1" applyBorder="1"/>
    <xf numFmtId="164" fontId="0" fillId="11" borderId="2" xfId="1" applyNumberFormat="1" applyFont="1" applyFill="1" applyBorder="1" applyAlignment="1">
      <alignment horizontal="center"/>
    </xf>
    <xf numFmtId="0" fontId="0" fillId="11" borderId="2" xfId="0" applyFont="1" applyFill="1" applyBorder="1" applyAlignment="1">
      <alignment wrapText="1"/>
    </xf>
    <xf numFmtId="164" fontId="0" fillId="11" borderId="2" xfId="1" applyNumberFormat="1" applyFont="1" applyFill="1" applyBorder="1"/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wrapText="1"/>
    </xf>
    <xf numFmtId="43" fontId="0" fillId="0" borderId="2" xfId="1" applyFont="1" applyBorder="1" applyAlignment="1">
      <alignment wrapText="1"/>
    </xf>
    <xf numFmtId="164" fontId="0" fillId="5" borderId="2" xfId="1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wrapText="1"/>
    </xf>
    <xf numFmtId="1" fontId="0" fillId="5" borderId="2" xfId="0" applyNumberFormat="1" applyFont="1" applyFill="1" applyBorder="1"/>
    <xf numFmtId="0" fontId="13" fillId="0" borderId="2" xfId="0" applyFont="1" applyFill="1" applyBorder="1" applyAlignment="1">
      <alignment horizontal="left" vertical="top"/>
    </xf>
    <xf numFmtId="164" fontId="4" fillId="2" borderId="2" xfId="0" applyNumberFormat="1" applyFont="1" applyFill="1" applyBorder="1" applyAlignment="1">
      <alignment horizontal="left" vertical="top"/>
    </xf>
    <xf numFmtId="43" fontId="0" fillId="0" borderId="2" xfId="1" applyNumberFormat="1" applyFont="1" applyBorder="1"/>
    <xf numFmtId="0" fontId="13" fillId="0" borderId="12" xfId="0" applyFont="1" applyBorder="1" applyAlignment="1">
      <alignment vertical="center"/>
    </xf>
    <xf numFmtId="0" fontId="1" fillId="0" borderId="0" xfId="5" applyFont="1" applyFill="1" applyAlignment="1">
      <alignment horizontal="center"/>
    </xf>
    <xf numFmtId="0" fontId="1" fillId="0" borderId="0" xfId="5" applyFont="1" applyAlignment="1">
      <alignment horizontal="left" wrapText="1"/>
    </xf>
    <xf numFmtId="0" fontId="1" fillId="2" borderId="0" xfId="5" applyFont="1" applyFill="1" applyBorder="1"/>
    <xf numFmtId="0" fontId="1" fillId="0" borderId="0" xfId="5" applyFont="1"/>
    <xf numFmtId="0" fontId="12" fillId="0" borderId="0" xfId="5" applyFont="1" applyFill="1" applyAlignment="1">
      <alignment horizontal="left" wrapText="1"/>
    </xf>
    <xf numFmtId="0" fontId="1" fillId="0" borderId="0" xfId="5" applyFont="1" applyFill="1" applyAlignment="1">
      <alignment horizontal="left" wrapText="1"/>
    </xf>
    <xf numFmtId="0" fontId="1" fillId="0" borderId="2" xfId="5" applyFont="1" applyFill="1" applyBorder="1" applyAlignment="1">
      <alignment horizontal="center" vertical="top"/>
    </xf>
    <xf numFmtId="0" fontId="12" fillId="4" borderId="3" xfId="5" applyFont="1" applyFill="1" applyBorder="1" applyAlignment="1">
      <alignment horizontal="left" vertical="top" wrapText="1"/>
    </xf>
    <xf numFmtId="0" fontId="1" fillId="4" borderId="3" xfId="5" applyFont="1" applyFill="1" applyBorder="1" applyAlignment="1">
      <alignment horizontal="left" vertical="top" wrapText="1"/>
    </xf>
    <xf numFmtId="0" fontId="1" fillId="0" borderId="2" xfId="5" applyFont="1" applyBorder="1" applyAlignment="1">
      <alignment horizontal="center" vertical="top"/>
    </xf>
    <xf numFmtId="0" fontId="12" fillId="0" borderId="2" xfId="5" applyFont="1" applyFill="1" applyBorder="1" applyAlignment="1">
      <alignment horizontal="center" vertical="top"/>
    </xf>
    <xf numFmtId="0" fontId="4" fillId="0" borderId="3" xfId="5" applyFont="1" applyBorder="1" applyAlignment="1">
      <alignment horizontal="left" vertical="top" wrapText="1"/>
    </xf>
    <xf numFmtId="0" fontId="4" fillId="0" borderId="0" xfId="5" applyFont="1"/>
    <xf numFmtId="0" fontId="4" fillId="0" borderId="2" xfId="5" applyFont="1" applyBorder="1" applyAlignment="1">
      <alignment horizontal="center" vertical="top"/>
    </xf>
    <xf numFmtId="0" fontId="13" fillId="0" borderId="2" xfId="5" applyFont="1" applyFill="1" applyBorder="1" applyAlignment="1">
      <alignment horizontal="center" vertical="top"/>
    </xf>
    <xf numFmtId="2" fontId="1" fillId="0" borderId="2" xfId="5" applyNumberFormat="1" applyFont="1" applyBorder="1" applyAlignment="1">
      <alignment horizontal="center" vertical="top"/>
    </xf>
    <xf numFmtId="0" fontId="4" fillId="5" borderId="3" xfId="5" applyFont="1" applyFill="1" applyBorder="1" applyAlignment="1">
      <alignment horizontal="left" vertical="top" wrapText="1"/>
    </xf>
    <xf numFmtId="2" fontId="4" fillId="5" borderId="2" xfId="5" applyNumberFormat="1" applyFont="1" applyFill="1" applyBorder="1" applyAlignment="1">
      <alignment horizontal="center" vertical="top"/>
    </xf>
    <xf numFmtId="0" fontId="4" fillId="6" borderId="3" xfId="5" applyFont="1" applyFill="1" applyBorder="1" applyAlignment="1">
      <alignment horizontal="left" vertical="top" wrapText="1"/>
    </xf>
    <xf numFmtId="0" fontId="12" fillId="2" borderId="2" xfId="5" applyFont="1" applyFill="1" applyBorder="1" applyAlignment="1">
      <alignment horizontal="center" vertical="top"/>
    </xf>
    <xf numFmtId="0" fontId="4" fillId="2" borderId="3" xfId="5" applyFont="1" applyFill="1" applyBorder="1" applyAlignment="1">
      <alignment horizontal="left" vertical="top" wrapText="1"/>
    </xf>
    <xf numFmtId="0" fontId="4" fillId="2" borderId="0" xfId="5" applyFont="1" applyFill="1"/>
    <xf numFmtId="0" fontId="4" fillId="2" borderId="2" xfId="5" applyFont="1" applyFill="1" applyBorder="1" applyAlignment="1">
      <alignment horizontal="center" vertical="top"/>
    </xf>
    <xf numFmtId="0" fontId="12" fillId="0" borderId="3" xfId="5" applyFont="1" applyFill="1" applyBorder="1" applyAlignment="1">
      <alignment horizontal="left" vertical="top" wrapText="1"/>
    </xf>
    <xf numFmtId="0" fontId="12" fillId="7" borderId="3" xfId="5" applyFont="1" applyFill="1" applyBorder="1" applyAlignment="1">
      <alignment horizontal="left" vertical="top" wrapText="1"/>
    </xf>
    <xf numFmtId="2" fontId="4" fillId="7" borderId="2" xfId="5" applyNumberFormat="1" applyFont="1" applyFill="1" applyBorder="1" applyAlignment="1">
      <alignment horizontal="center" vertical="top"/>
    </xf>
    <xf numFmtId="0" fontId="12" fillId="2" borderId="3" xfId="5" applyFont="1" applyFill="1" applyBorder="1" applyAlignment="1">
      <alignment horizontal="left" vertical="top" wrapText="1"/>
    </xf>
    <xf numFmtId="2" fontId="4" fillId="2" borderId="2" xfId="5" applyNumberFormat="1" applyFont="1" applyFill="1" applyBorder="1" applyAlignment="1">
      <alignment horizontal="center" vertical="top"/>
    </xf>
    <xf numFmtId="2" fontId="1" fillId="0" borderId="0" xfId="5" applyNumberFormat="1" applyFont="1"/>
    <xf numFmtId="0" fontId="4" fillId="6" borderId="3" xfId="5" applyFont="1" applyFill="1" applyBorder="1" applyAlignment="1">
      <alignment horizontal="right" vertical="top" wrapText="1"/>
    </xf>
    <xf numFmtId="2" fontId="4" fillId="6" borderId="2" xfId="5" applyNumberFormat="1" applyFont="1" applyFill="1" applyBorder="1" applyAlignment="1">
      <alignment horizontal="center" vertical="top"/>
    </xf>
    <xf numFmtId="0" fontId="4" fillId="0" borderId="2" xfId="5" applyFont="1" applyBorder="1" applyAlignment="1">
      <alignment horizontal="left" vertical="top" wrapText="1"/>
    </xf>
    <xf numFmtId="0" fontId="1" fillId="0" borderId="2" xfId="5" applyFont="1" applyBorder="1" applyAlignment="1">
      <alignment horizontal="left" vertical="top" wrapText="1"/>
    </xf>
    <xf numFmtId="164" fontId="1" fillId="0" borderId="2" xfId="5" applyNumberFormat="1" applyFont="1" applyBorder="1" applyAlignment="1">
      <alignment horizontal="center" vertical="top"/>
    </xf>
    <xf numFmtId="0" fontId="4" fillId="5" borderId="2" xfId="5" applyFont="1" applyFill="1" applyBorder="1" applyAlignment="1">
      <alignment horizontal="left" vertical="top" wrapText="1"/>
    </xf>
    <xf numFmtId="164" fontId="4" fillId="5" borderId="2" xfId="5" applyNumberFormat="1" applyFont="1" applyFill="1" applyBorder="1" applyAlignment="1">
      <alignment horizontal="center" vertical="top"/>
    </xf>
    <xf numFmtId="0" fontId="3" fillId="2" borderId="0" xfId="5" applyFont="1" applyFill="1" applyBorder="1" applyAlignment="1">
      <alignment horizontal="center" vertical="top"/>
    </xf>
    <xf numFmtId="0" fontId="15" fillId="2" borderId="0" xfId="5" applyFont="1" applyFill="1" applyBorder="1" applyAlignment="1">
      <alignment horizontal="left" vertical="top" wrapText="1"/>
    </xf>
    <xf numFmtId="0" fontId="15" fillId="2" borderId="0" xfId="5" applyFont="1" applyFill="1" applyBorder="1" applyAlignment="1">
      <alignment horizontal="center" vertical="top"/>
    </xf>
    <xf numFmtId="0" fontId="3" fillId="2" borderId="0" xfId="5" applyFont="1" applyFill="1"/>
    <xf numFmtId="0" fontId="1" fillId="0" borderId="2" xfId="5" applyFont="1" applyBorder="1"/>
    <xf numFmtId="0" fontId="1" fillId="0" borderId="0" xfId="5" applyFont="1" applyBorder="1"/>
    <xf numFmtId="0" fontId="4" fillId="15" borderId="3" xfId="5" applyFont="1" applyFill="1" applyBorder="1" applyAlignment="1">
      <alignment horizontal="center"/>
    </xf>
    <xf numFmtId="0" fontId="4" fillId="15" borderId="4" xfId="5" applyFont="1" applyFill="1" applyBorder="1" applyAlignment="1">
      <alignment horizontal="center"/>
    </xf>
    <xf numFmtId="0" fontId="4" fillId="15" borderId="2" xfId="5" applyFont="1" applyFill="1" applyBorder="1" applyAlignment="1">
      <alignment horizontal="center"/>
    </xf>
    <xf numFmtId="0" fontId="4" fillId="6" borderId="2" xfId="5" applyFont="1" applyFill="1" applyBorder="1"/>
    <xf numFmtId="0" fontId="1" fillId="9" borderId="2" xfId="5" applyFont="1" applyFill="1" applyBorder="1"/>
    <xf numFmtId="0" fontId="1" fillId="17" borderId="2" xfId="5" applyFont="1" applyFill="1" applyBorder="1"/>
    <xf numFmtId="0" fontId="1" fillId="20" borderId="2" xfId="5" applyFont="1" applyFill="1" applyBorder="1"/>
    <xf numFmtId="0" fontId="1" fillId="0" borderId="3" xfId="5" applyFont="1" applyBorder="1" applyAlignment="1">
      <alignment horizontal="left" vertical="top" wrapText="1"/>
    </xf>
    <xf numFmtId="0" fontId="1" fillId="2" borderId="2" xfId="5" applyFont="1" applyFill="1" applyBorder="1"/>
    <xf numFmtId="0" fontId="1" fillId="0" borderId="2" xfId="5" applyFont="1" applyFill="1" applyBorder="1" applyAlignment="1">
      <alignment horizontal="left"/>
    </xf>
    <xf numFmtId="0" fontId="1" fillId="0" borderId="2" xfId="5" applyFont="1" applyBorder="1" applyAlignment="1">
      <alignment horizontal="left"/>
    </xf>
    <xf numFmtId="0" fontId="4" fillId="10" borderId="2" xfId="5" applyFont="1" applyFill="1" applyBorder="1" applyAlignment="1">
      <alignment horizontal="center"/>
    </xf>
    <xf numFmtId="0" fontId="4" fillId="10" borderId="2" xfId="5" applyFont="1" applyFill="1" applyBorder="1" applyAlignment="1"/>
    <xf numFmtId="0" fontId="4" fillId="10" borderId="2" xfId="5" applyFont="1" applyFill="1" applyBorder="1"/>
    <xf numFmtId="0" fontId="4" fillId="0" borderId="2" xfId="5" applyFont="1" applyBorder="1"/>
    <xf numFmtId="0" fontId="1" fillId="10" borderId="2" xfId="5" applyFont="1" applyFill="1" applyBorder="1"/>
    <xf numFmtId="9" fontId="1" fillId="0" borderId="2" xfId="5" applyNumberFormat="1" applyFont="1" applyBorder="1"/>
    <xf numFmtId="1" fontId="1" fillId="10" borderId="2" xfId="5" applyNumberFormat="1" applyFont="1" applyFill="1" applyBorder="1"/>
    <xf numFmtId="1" fontId="4" fillId="6" borderId="2" xfId="5" applyNumberFormat="1" applyFont="1" applyFill="1" applyBorder="1"/>
    <xf numFmtId="164" fontId="1" fillId="0" borderId="2" xfId="9" applyNumberFormat="1" applyFont="1" applyBorder="1"/>
    <xf numFmtId="1" fontId="1" fillId="0" borderId="2" xfId="5" applyNumberFormat="1" applyFont="1" applyBorder="1"/>
    <xf numFmtId="164" fontId="1" fillId="0" borderId="2" xfId="5" applyNumberFormat="1" applyFont="1" applyBorder="1"/>
    <xf numFmtId="0" fontId="1" fillId="5" borderId="2" xfId="5" applyFont="1" applyFill="1" applyBorder="1"/>
    <xf numFmtId="164" fontId="1" fillId="5" borderId="2" xfId="5" applyNumberFormat="1" applyFont="1" applyFill="1" applyBorder="1"/>
    <xf numFmtId="0" fontId="1" fillId="5" borderId="0" xfId="5" applyFont="1" applyFill="1"/>
    <xf numFmtId="1" fontId="1" fillId="5" borderId="2" xfId="5" applyNumberFormat="1" applyFont="1" applyFill="1" applyBorder="1"/>
    <xf numFmtId="164" fontId="4" fillId="10" borderId="2" xfId="9" applyNumberFormat="1" applyFont="1" applyFill="1" applyBorder="1" applyAlignment="1">
      <alignment horizontal="center"/>
    </xf>
    <xf numFmtId="164" fontId="4" fillId="6" borderId="2" xfId="9" applyNumberFormat="1" applyFont="1" applyFill="1" applyBorder="1"/>
    <xf numFmtId="164" fontId="1" fillId="10" borderId="2" xfId="9" applyNumberFormat="1" applyFont="1" applyFill="1" applyBorder="1"/>
    <xf numFmtId="43" fontId="1" fillId="0" borderId="2" xfId="9" applyNumberFormat="1" applyFont="1" applyBorder="1"/>
    <xf numFmtId="43" fontId="1" fillId="10" borderId="2" xfId="9" applyNumberFormat="1" applyFont="1" applyFill="1" applyBorder="1"/>
    <xf numFmtId="164" fontId="1" fillId="5" borderId="2" xfId="9" applyNumberFormat="1" applyFont="1" applyFill="1" applyBorder="1"/>
    <xf numFmtId="164" fontId="16" fillId="6" borderId="2" xfId="9" applyNumberFormat="1" applyFont="1" applyFill="1" applyBorder="1"/>
    <xf numFmtId="164" fontId="1" fillId="0" borderId="2" xfId="9" applyNumberFormat="1" applyFont="1" applyBorder="1" applyAlignment="1">
      <alignment horizontal="center"/>
    </xf>
    <xf numFmtId="164" fontId="1" fillId="0" borderId="2" xfId="9" applyNumberFormat="1" applyFont="1" applyBorder="1" applyAlignment="1"/>
    <xf numFmtId="164" fontId="1" fillId="0" borderId="2" xfId="9" applyNumberFormat="1" applyFont="1" applyFill="1" applyBorder="1"/>
    <xf numFmtId="0" fontId="4" fillId="12" borderId="2" xfId="5" applyFont="1" applyFill="1" applyBorder="1"/>
    <xf numFmtId="164" fontId="4" fillId="12" borderId="2" xfId="5" applyNumberFormat="1" applyFont="1" applyFill="1" applyBorder="1"/>
    <xf numFmtId="0" fontId="4" fillId="2" borderId="0" xfId="5" applyFont="1" applyFill="1" applyAlignment="1"/>
    <xf numFmtId="164" fontId="4" fillId="10" borderId="2" xfId="9" applyNumberFormat="1" applyFont="1" applyFill="1" applyBorder="1"/>
    <xf numFmtId="0" fontId="4" fillId="17" borderId="2" xfId="5" applyFont="1" applyFill="1" applyBorder="1"/>
    <xf numFmtId="0" fontId="4" fillId="20" borderId="2" xfId="5" applyFont="1" applyFill="1" applyBorder="1"/>
    <xf numFmtId="0" fontId="1" fillId="11" borderId="2" xfId="5" applyFont="1" applyFill="1" applyBorder="1" applyAlignment="1">
      <alignment horizontal="center"/>
    </xf>
    <xf numFmtId="0" fontId="4" fillId="2" borderId="2" xfId="5" applyFont="1" applyFill="1" applyBorder="1" applyAlignment="1">
      <alignment horizontal="center"/>
    </xf>
    <xf numFmtId="0" fontId="4" fillId="2" borderId="2" xfId="5" applyFont="1" applyFill="1" applyBorder="1"/>
    <xf numFmtId="0" fontId="1" fillId="2" borderId="0" xfId="5" applyFont="1" applyFill="1"/>
    <xf numFmtId="164" fontId="4" fillId="15" borderId="3" xfId="9" applyNumberFormat="1" applyFont="1" applyFill="1" applyBorder="1" applyAlignment="1">
      <alignment horizontal="center"/>
    </xf>
    <xf numFmtId="164" fontId="4" fillId="15" borderId="4" xfId="9" applyNumberFormat="1" applyFont="1" applyFill="1" applyBorder="1" applyAlignment="1">
      <alignment horizontal="center"/>
    </xf>
    <xf numFmtId="164" fontId="4" fillId="15" borderId="2" xfId="9" applyNumberFormat="1" applyFont="1" applyFill="1" applyBorder="1" applyAlignment="1">
      <alignment horizontal="center"/>
    </xf>
    <xf numFmtId="164" fontId="1" fillId="9" borderId="2" xfId="9" applyNumberFormat="1" applyFont="1" applyFill="1" applyBorder="1"/>
    <xf numFmtId="164" fontId="4" fillId="17" borderId="2" xfId="9" applyNumberFormat="1" applyFont="1" applyFill="1" applyBorder="1"/>
    <xf numFmtId="164" fontId="4" fillId="20" borderId="2" xfId="9" applyNumberFormat="1" applyFont="1" applyFill="1" applyBorder="1"/>
    <xf numFmtId="164" fontId="1" fillId="0" borderId="2" xfId="9" applyNumberFormat="1" applyFont="1" applyBorder="1" applyAlignment="1">
      <alignment horizontal="left" vertical="top" wrapText="1"/>
    </xf>
    <xf numFmtId="9" fontId="1" fillId="0" borderId="2" xfId="9" applyNumberFormat="1" applyFont="1" applyBorder="1"/>
    <xf numFmtId="0" fontId="4" fillId="5" borderId="2" xfId="5" applyFont="1" applyFill="1" applyBorder="1"/>
    <xf numFmtId="164" fontId="4" fillId="5" borderId="2" xfId="9" applyNumberFormat="1" applyFont="1" applyFill="1" applyBorder="1"/>
    <xf numFmtId="0" fontId="4" fillId="2" borderId="0" xfId="5" applyFont="1" applyFill="1" applyBorder="1"/>
    <xf numFmtId="164" fontId="4" fillId="2" borderId="2" xfId="9" applyNumberFormat="1" applyFont="1" applyFill="1" applyBorder="1"/>
    <xf numFmtId="164" fontId="1" fillId="2" borderId="2" xfId="9" applyNumberFormat="1" applyFont="1" applyFill="1" applyBorder="1"/>
    <xf numFmtId="164" fontId="4" fillId="2" borderId="2" xfId="9" applyNumberFormat="1" applyFont="1" applyFill="1" applyBorder="1" applyAlignment="1">
      <alignment horizontal="center"/>
    </xf>
    <xf numFmtId="164" fontId="1" fillId="6" borderId="2" xfId="9" applyNumberFormat="1" applyFont="1" applyFill="1" applyBorder="1"/>
    <xf numFmtId="164" fontId="1" fillId="21" borderId="2" xfId="9" applyNumberFormat="1" applyFont="1" applyFill="1" applyBorder="1"/>
    <xf numFmtId="164" fontId="1" fillId="21" borderId="2" xfId="5" applyNumberFormat="1" applyFont="1" applyFill="1" applyBorder="1"/>
    <xf numFmtId="164" fontId="1" fillId="0" borderId="0" xfId="5" applyNumberFormat="1" applyFont="1"/>
    <xf numFmtId="164" fontId="1" fillId="17" borderId="2" xfId="9" applyNumberFormat="1" applyFont="1" applyFill="1" applyBorder="1"/>
    <xf numFmtId="164" fontId="1" fillId="20" borderId="2" xfId="9" applyNumberFormat="1" applyFont="1" applyFill="1" applyBorder="1"/>
    <xf numFmtId="0" fontId="1" fillId="2" borderId="2" xfId="5" applyFont="1" applyFill="1" applyBorder="1" applyAlignment="1">
      <alignment horizontal="left"/>
    </xf>
    <xf numFmtId="164" fontId="1" fillId="0" borderId="0" xfId="9" applyNumberFormat="1" applyFont="1"/>
    <xf numFmtId="164" fontId="4" fillId="0" borderId="0" xfId="9" applyNumberFormat="1" applyFont="1"/>
    <xf numFmtId="0" fontId="1" fillId="0" borderId="0" xfId="5" applyFont="1" applyFill="1" applyBorder="1" applyAlignment="1">
      <alignment horizontal="left" vertical="top" wrapText="1"/>
    </xf>
    <xf numFmtId="0" fontId="1" fillId="5" borderId="2" xfId="5" applyFont="1" applyFill="1" applyBorder="1" applyAlignment="1">
      <alignment horizontal="left" vertical="top" wrapText="1"/>
    </xf>
    <xf numFmtId="9" fontId="1" fillId="5" borderId="2" xfId="5" applyNumberFormat="1" applyFont="1" applyFill="1" applyBorder="1"/>
    <xf numFmtId="0" fontId="4" fillId="7" borderId="2" xfId="5" applyFont="1" applyFill="1" applyBorder="1"/>
    <xf numFmtId="9" fontId="4" fillId="7" borderId="2" xfId="5" applyNumberFormat="1" applyFont="1" applyFill="1" applyBorder="1"/>
    <xf numFmtId="0" fontId="4" fillId="7" borderId="2" xfId="5" applyFont="1" applyFill="1" applyBorder="1" applyAlignment="1">
      <alignment horizontal="center"/>
    </xf>
    <xf numFmtId="0" fontId="1" fillId="14" borderId="2" xfId="5" applyFont="1" applyFill="1" applyBorder="1"/>
    <xf numFmtId="9" fontId="1" fillId="14" borderId="2" xfId="5" applyNumberFormat="1" applyFont="1" applyFill="1" applyBorder="1"/>
    <xf numFmtId="165" fontId="1" fillId="0" borderId="2" xfId="5" applyNumberFormat="1" applyFont="1" applyBorder="1"/>
    <xf numFmtId="0" fontId="1" fillId="15" borderId="2" xfId="5" applyFont="1" applyFill="1" applyBorder="1"/>
    <xf numFmtId="9" fontId="1" fillId="15" borderId="2" xfId="5" applyNumberFormat="1" applyFont="1" applyFill="1" applyBorder="1"/>
    <xf numFmtId="164" fontId="1" fillId="15" borderId="2" xfId="5" applyNumberFormat="1" applyFont="1" applyFill="1" applyBorder="1"/>
    <xf numFmtId="0" fontId="1" fillId="0" borderId="2" xfId="5" applyFont="1" applyFill="1" applyBorder="1"/>
    <xf numFmtId="9" fontId="1" fillId="0" borderId="2" xfId="5" applyNumberFormat="1" applyFont="1" applyFill="1" applyBorder="1"/>
    <xf numFmtId="164" fontId="1" fillId="0" borderId="2" xfId="5" applyNumberFormat="1" applyFont="1" applyFill="1" applyBorder="1"/>
    <xf numFmtId="164" fontId="1" fillId="0" borderId="0" xfId="9" applyNumberFormat="1" applyFont="1" applyFill="1"/>
    <xf numFmtId="0" fontId="1" fillId="16" borderId="2" xfId="5" applyFont="1" applyFill="1" applyBorder="1"/>
    <xf numFmtId="9" fontId="1" fillId="16" borderId="2" xfId="5" applyNumberFormat="1" applyFont="1" applyFill="1" applyBorder="1"/>
    <xf numFmtId="164" fontId="1" fillId="0" borderId="0" xfId="9" applyNumberFormat="1" applyFont="1" applyAlignment="1">
      <alignment wrapText="1"/>
    </xf>
    <xf numFmtId="0" fontId="1" fillId="6" borderId="2" xfId="5" applyFont="1" applyFill="1" applyBorder="1"/>
    <xf numFmtId="9" fontId="1" fillId="6" borderId="2" xfId="5" applyNumberFormat="1" applyFont="1" applyFill="1" applyBorder="1"/>
    <xf numFmtId="164" fontId="1" fillId="6" borderId="2" xfId="5" applyNumberFormat="1" applyFont="1" applyFill="1" applyBorder="1"/>
    <xf numFmtId="43" fontId="1" fillId="0" borderId="0" xfId="9" applyNumberFormat="1" applyFont="1"/>
    <xf numFmtId="9" fontId="1" fillId="2" borderId="0" xfId="5" applyNumberFormat="1" applyFont="1" applyFill="1" applyBorder="1"/>
    <xf numFmtId="164" fontId="1" fillId="2" borderId="0" xfId="5" applyNumberFormat="1" applyFont="1" applyFill="1" applyBorder="1"/>
    <xf numFmtId="164" fontId="1" fillId="2" borderId="0" xfId="9" applyNumberFormat="1" applyFont="1" applyFill="1"/>
    <xf numFmtId="43" fontId="1" fillId="0" borderId="2" xfId="5" applyNumberFormat="1" applyFont="1" applyBorder="1"/>
    <xf numFmtId="164" fontId="1" fillId="0" borderId="0" xfId="3" applyNumberFormat="1" applyFont="1"/>
    <xf numFmtId="164" fontId="1" fillId="22" borderId="2" xfId="3" applyNumberFormat="1" applyFont="1" applyFill="1" applyBorder="1"/>
    <xf numFmtId="164" fontId="1" fillId="2" borderId="2" xfId="3" applyNumberFormat="1" applyFont="1" applyFill="1" applyBorder="1"/>
    <xf numFmtId="164" fontId="4" fillId="22" borderId="2" xfId="3" applyNumberFormat="1" applyFont="1" applyFill="1" applyBorder="1"/>
    <xf numFmtId="164" fontId="4" fillId="2" borderId="0" xfId="3" applyNumberFormat="1" applyFont="1" applyFill="1" applyBorder="1"/>
    <xf numFmtId="164" fontId="4" fillId="2" borderId="2" xfId="3" applyNumberFormat="1" applyFont="1" applyFill="1" applyBorder="1"/>
    <xf numFmtId="164" fontId="1" fillId="10" borderId="2" xfId="3" applyNumberFormat="1" applyFont="1" applyFill="1" applyBorder="1"/>
    <xf numFmtId="164" fontId="4" fillId="2" borderId="2" xfId="3" applyNumberFormat="1" applyFont="1" applyFill="1" applyBorder="1" applyAlignment="1">
      <alignment wrapText="1"/>
    </xf>
    <xf numFmtId="164" fontId="4" fillId="0" borderId="0" xfId="3" applyNumberFormat="1" applyFont="1"/>
    <xf numFmtId="164" fontId="4" fillId="7" borderId="2" xfId="9" applyNumberFormat="1" applyFont="1" applyFill="1" applyBorder="1" applyAlignment="1">
      <alignment horizontal="center"/>
    </xf>
    <xf numFmtId="0" fontId="4" fillId="0" borderId="2" xfId="5" applyFont="1" applyFill="1" applyBorder="1" applyAlignment="1">
      <alignment horizontal="center"/>
    </xf>
    <xf numFmtId="164" fontId="4" fillId="22" borderId="2" xfId="9" applyNumberFormat="1" applyFont="1" applyFill="1" applyBorder="1"/>
    <xf numFmtId="0" fontId="4" fillId="22" borderId="0" xfId="5" applyFont="1" applyFill="1"/>
    <xf numFmtId="0" fontId="4" fillId="22" borderId="2" xfId="5" applyFont="1" applyFill="1" applyBorder="1"/>
    <xf numFmtId="164" fontId="4" fillId="22" borderId="2" xfId="5" applyNumberFormat="1" applyFont="1" applyFill="1" applyBorder="1"/>
    <xf numFmtId="43" fontId="1" fillId="0" borderId="3" xfId="1" applyFont="1" applyBorder="1" applyAlignment="1">
      <alignment horizontal="left" vertical="top" wrapText="1"/>
    </xf>
    <xf numFmtId="43" fontId="4" fillId="5" borderId="3" xfId="1" applyFont="1" applyFill="1" applyBorder="1" applyAlignment="1">
      <alignment horizontal="left" vertical="top" wrapText="1"/>
    </xf>
    <xf numFmtId="164" fontId="1" fillId="2" borderId="2" xfId="9" applyNumberFormat="1" applyFont="1" applyFill="1" applyBorder="1" applyAlignment="1">
      <alignment horizontal="center"/>
    </xf>
    <xf numFmtId="164" fontId="1" fillId="2" borderId="2" xfId="9" applyNumberFormat="1" applyFont="1" applyFill="1" applyBorder="1" applyAlignment="1"/>
    <xf numFmtId="164" fontId="1" fillId="2" borderId="2" xfId="5" applyNumberFormat="1" applyFont="1" applyFill="1" applyBorder="1"/>
    <xf numFmtId="43" fontId="1" fillId="0" borderId="0" xfId="5" applyNumberFormat="1" applyFont="1"/>
    <xf numFmtId="164" fontId="4" fillId="2" borderId="0" xfId="5" applyNumberFormat="1" applyFont="1" applyFill="1" applyBorder="1"/>
    <xf numFmtId="0" fontId="4" fillId="2" borderId="0" xfId="0" applyFont="1" applyFill="1" applyBorder="1"/>
    <xf numFmtId="9" fontId="4" fillId="2" borderId="0" xfId="0" applyNumberFormat="1" applyFont="1" applyFill="1" applyBorder="1"/>
    <xf numFmtId="164" fontId="4" fillId="2" borderId="0" xfId="0" applyNumberFormat="1" applyFont="1" applyFill="1" applyBorder="1"/>
    <xf numFmtId="164" fontId="0" fillId="2" borderId="0" xfId="0" applyNumberFormat="1" applyFont="1" applyFill="1" applyBorder="1"/>
    <xf numFmtId="165" fontId="0" fillId="2" borderId="0" xfId="0" applyNumberFormat="1" applyFont="1" applyFill="1" applyBorder="1"/>
    <xf numFmtId="0" fontId="4" fillId="2" borderId="2" xfId="0" applyFont="1" applyFill="1" applyBorder="1"/>
    <xf numFmtId="9" fontId="4" fillId="2" borderId="2" xfId="0" applyNumberFormat="1" applyFont="1" applyFill="1" applyBorder="1"/>
    <xf numFmtId="164" fontId="4" fillId="2" borderId="2" xfId="0" applyNumberFormat="1" applyFont="1" applyFill="1" applyBorder="1"/>
    <xf numFmtId="164" fontId="0" fillId="2" borderId="2" xfId="0" applyNumberFormat="1" applyFont="1" applyFill="1" applyBorder="1"/>
    <xf numFmtId="165" fontId="0" fillId="2" borderId="2" xfId="0" applyNumberFormat="1" applyFont="1" applyFill="1" applyBorder="1"/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vertical="center" wrapText="1"/>
    </xf>
    <xf numFmtId="0" fontId="4" fillId="0" borderId="0" xfId="0" applyFont="1" applyBorder="1"/>
    <xf numFmtId="2" fontId="4" fillId="0" borderId="5" xfId="0" applyNumberFormat="1" applyFont="1" applyBorder="1" applyAlignment="1">
      <alignment horizontal="center" vertical="top"/>
    </xf>
    <xf numFmtId="2" fontId="4" fillId="5" borderId="5" xfId="0" applyNumberFormat="1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2" fontId="4" fillId="6" borderId="5" xfId="0" applyNumberFormat="1" applyFont="1" applyFill="1" applyBorder="1" applyAlignment="1">
      <alignment horizontal="center" vertical="top"/>
    </xf>
    <xf numFmtId="0" fontId="0" fillId="4" borderId="2" xfId="5" applyFont="1" applyFill="1" applyBorder="1" applyAlignment="1">
      <alignment horizontal="left" vertical="top" wrapText="1"/>
    </xf>
    <xf numFmtId="43" fontId="0" fillId="2" borderId="2" xfId="1" applyFont="1" applyFill="1" applyBorder="1" applyAlignment="1">
      <alignment horizontal="center" vertical="top"/>
    </xf>
    <xf numFmtId="43" fontId="4" fillId="5" borderId="2" xfId="1" applyFont="1" applyFill="1" applyBorder="1" applyAlignment="1">
      <alignment horizontal="center" vertical="top"/>
    </xf>
    <xf numFmtId="43" fontId="4" fillId="2" borderId="2" xfId="1" applyFont="1" applyFill="1" applyBorder="1" applyAlignment="1">
      <alignment horizontal="center" vertical="top"/>
    </xf>
    <xf numFmtId="43" fontId="4" fillId="6" borderId="2" xfId="1" applyFont="1" applyFill="1" applyBorder="1" applyAlignment="1">
      <alignment horizontal="center" vertical="top"/>
    </xf>
    <xf numFmtId="0" fontId="0" fillId="4" borderId="2" xfId="5" applyFont="1" applyFill="1" applyBorder="1" applyAlignment="1">
      <alignment horizontal="center" vertical="top" wrapText="1"/>
    </xf>
    <xf numFmtId="43" fontId="4" fillId="0" borderId="3" xfId="1" applyFont="1" applyBorder="1" applyAlignment="1">
      <alignment horizontal="left" vertical="top" wrapText="1"/>
    </xf>
    <xf numFmtId="43" fontId="4" fillId="6" borderId="3" xfId="1" applyFont="1" applyFill="1" applyBorder="1" applyAlignment="1">
      <alignment horizontal="left" vertical="top" wrapText="1"/>
    </xf>
    <xf numFmtId="43" fontId="4" fillId="2" borderId="3" xfId="1" applyFont="1" applyFill="1" applyBorder="1" applyAlignment="1">
      <alignment horizontal="left" vertical="top" wrapText="1"/>
    </xf>
    <xf numFmtId="43" fontId="12" fillId="0" borderId="3" xfId="1" applyFont="1" applyFill="1" applyBorder="1" applyAlignment="1">
      <alignment horizontal="left" vertical="top" wrapText="1"/>
    </xf>
    <xf numFmtId="43" fontId="12" fillId="7" borderId="3" xfId="1" applyFont="1" applyFill="1" applyBorder="1" applyAlignment="1">
      <alignment horizontal="left" vertical="top" wrapText="1"/>
    </xf>
    <xf numFmtId="43" fontId="12" fillId="2" borderId="3" xfId="1" applyFont="1" applyFill="1" applyBorder="1" applyAlignment="1">
      <alignment horizontal="left" vertical="top" wrapText="1"/>
    </xf>
    <xf numFmtId="43" fontId="4" fillId="6" borderId="3" xfId="1" applyFont="1" applyFill="1" applyBorder="1" applyAlignment="1">
      <alignment horizontal="right" vertical="top" wrapText="1"/>
    </xf>
    <xf numFmtId="0" fontId="1" fillId="0" borderId="2" xfId="5" applyFont="1" applyFill="1" applyBorder="1" applyAlignment="1">
      <alignment horizontal="center"/>
    </xf>
    <xf numFmtId="0" fontId="1" fillId="0" borderId="2" xfId="5" applyFont="1" applyFill="1" applyBorder="1" applyAlignment="1">
      <alignment horizontal="left" wrapText="1"/>
    </xf>
    <xf numFmtId="0" fontId="12" fillId="4" borderId="2" xfId="5" applyFont="1" applyFill="1" applyBorder="1" applyAlignment="1">
      <alignment horizontal="left" vertical="top" wrapText="1"/>
    </xf>
    <xf numFmtId="0" fontId="1" fillId="9" borderId="2" xfId="5" applyFont="1" applyFill="1" applyBorder="1" applyAlignment="1">
      <alignment horizontal="center" vertical="top"/>
    </xf>
    <xf numFmtId="0" fontId="1" fillId="4" borderId="2" xfId="5" applyFont="1" applyFill="1" applyBorder="1" applyAlignment="1">
      <alignment horizontal="left" vertical="top" wrapText="1"/>
    </xf>
    <xf numFmtId="0" fontId="1" fillId="0" borderId="2" xfId="5" applyFont="1" applyBorder="1" applyAlignment="1">
      <alignment horizontal="left" wrapText="1"/>
    </xf>
    <xf numFmtId="43" fontId="1" fillId="18" borderId="2" xfId="5" applyNumberFormat="1" applyFont="1" applyFill="1" applyBorder="1" applyAlignment="1">
      <alignment horizontal="left" wrapText="1"/>
    </xf>
    <xf numFmtId="43" fontId="1" fillId="9" borderId="2" xfId="5" applyNumberFormat="1" applyFont="1" applyFill="1" applyBorder="1" applyAlignment="1">
      <alignment horizontal="left" wrapText="1"/>
    </xf>
    <xf numFmtId="43" fontId="1" fillId="0" borderId="2" xfId="5" applyNumberFormat="1" applyFont="1" applyBorder="1" applyAlignment="1">
      <alignment horizontal="left" wrapText="1"/>
    </xf>
    <xf numFmtId="0" fontId="1" fillId="5" borderId="2" xfId="5" applyFont="1" applyFill="1" applyBorder="1" applyAlignment="1">
      <alignment horizontal="left" wrapText="1"/>
    </xf>
    <xf numFmtId="43" fontId="1" fillId="5" borderId="2" xfId="5" applyNumberFormat="1" applyFont="1" applyFill="1" applyBorder="1" applyAlignment="1">
      <alignment horizontal="left" wrapText="1"/>
    </xf>
    <xf numFmtId="0" fontId="1" fillId="2" borderId="2" xfId="5" applyFont="1" applyFill="1" applyBorder="1" applyAlignment="1">
      <alignment horizontal="left" wrapText="1"/>
    </xf>
    <xf numFmtId="43" fontId="1" fillId="2" borderId="2" xfId="5" applyNumberFormat="1" applyFont="1" applyFill="1" applyBorder="1" applyAlignment="1">
      <alignment horizontal="left" wrapText="1"/>
    </xf>
    <xf numFmtId="0" fontId="1" fillId="7" borderId="2" xfId="5" applyFont="1" applyFill="1" applyBorder="1"/>
    <xf numFmtId="0" fontId="1" fillId="7" borderId="2" xfId="5" applyFont="1" applyFill="1" applyBorder="1" applyAlignment="1">
      <alignment horizontal="left" wrapText="1"/>
    </xf>
    <xf numFmtId="43" fontId="1" fillId="7" borderId="2" xfId="5" applyNumberFormat="1" applyFont="1" applyFill="1" applyBorder="1" applyAlignment="1">
      <alignment horizontal="left" wrapText="1"/>
    </xf>
    <xf numFmtId="2" fontId="1" fillId="9" borderId="2" xfId="5" applyNumberFormat="1" applyFont="1" applyFill="1" applyBorder="1"/>
    <xf numFmtId="0" fontId="1" fillId="24" borderId="2" xfId="5" applyFont="1" applyFill="1" applyBorder="1"/>
    <xf numFmtId="0" fontId="1" fillId="24" borderId="2" xfId="5" applyFont="1" applyFill="1" applyBorder="1" applyAlignment="1">
      <alignment horizontal="left" wrapText="1"/>
    </xf>
    <xf numFmtId="43" fontId="1" fillId="24" borderId="2" xfId="5" applyNumberFormat="1" applyFont="1" applyFill="1" applyBorder="1" applyAlignment="1">
      <alignment horizontal="left" wrapText="1"/>
    </xf>
    <xf numFmtId="43" fontId="1" fillId="23" borderId="2" xfId="1" applyFont="1" applyFill="1" applyBorder="1" applyAlignment="1">
      <alignment horizontal="left" vertical="top" wrapText="1"/>
    </xf>
    <xf numFmtId="2" fontId="4" fillId="15" borderId="2" xfId="5" applyNumberFormat="1" applyFont="1" applyFill="1" applyBorder="1" applyAlignment="1">
      <alignment horizontal="center" vertical="center"/>
    </xf>
    <xf numFmtId="43" fontId="1" fillId="4" borderId="3" xfId="1" applyFont="1" applyFill="1" applyBorder="1" applyAlignment="1">
      <alignment horizontal="left" vertical="top" wrapText="1"/>
    </xf>
    <xf numFmtId="9" fontId="4" fillId="5" borderId="2" xfId="9" applyNumberFormat="1" applyFont="1" applyFill="1" applyBorder="1"/>
    <xf numFmtId="164" fontId="4" fillId="2" borderId="2" xfId="5" applyNumberFormat="1" applyFont="1" applyFill="1" applyBorder="1"/>
    <xf numFmtId="0" fontId="1" fillId="0" borderId="2" xfId="5" applyFont="1" applyBorder="1" applyAlignment="1">
      <alignment wrapText="1"/>
    </xf>
    <xf numFmtId="0" fontId="1" fillId="22" borderId="2" xfId="10" applyFont="1" applyFill="1" applyBorder="1"/>
    <xf numFmtId="164" fontId="1" fillId="22" borderId="2" xfId="10" applyNumberFormat="1" applyFont="1" applyFill="1" applyBorder="1"/>
    <xf numFmtId="164" fontId="4" fillId="0" borderId="0" xfId="3" applyNumberFormat="1" applyFont="1" applyFill="1" applyAlignment="1">
      <alignment horizontal="left"/>
    </xf>
    <xf numFmtId="164" fontId="4" fillId="5" borderId="2" xfId="9" applyNumberFormat="1" applyFont="1" applyFill="1" applyBorder="1" applyAlignment="1">
      <alignment horizontal="center"/>
    </xf>
    <xf numFmtId="164" fontId="1" fillId="0" borderId="2" xfId="3" applyNumberFormat="1" applyFont="1" applyBorder="1"/>
    <xf numFmtId="164" fontId="1" fillId="15" borderId="2" xfId="3" applyNumberFormat="1" applyFont="1" applyFill="1" applyBorder="1"/>
    <xf numFmtId="164" fontId="1" fillId="0" borderId="2" xfId="3" applyNumberFormat="1" applyFont="1" applyFill="1" applyBorder="1"/>
    <xf numFmtId="0" fontId="1" fillId="0" borderId="0" xfId="5" applyFont="1" applyFill="1"/>
    <xf numFmtId="164" fontId="1" fillId="16" borderId="2" xfId="3" applyNumberFormat="1" applyFont="1" applyFill="1" applyBorder="1"/>
    <xf numFmtId="0" fontId="1" fillId="0" borderId="0" xfId="5" applyFont="1" applyAlignment="1">
      <alignment wrapText="1"/>
    </xf>
    <xf numFmtId="9" fontId="1" fillId="0" borderId="0" xfId="5" applyNumberFormat="1" applyFont="1"/>
    <xf numFmtId="164" fontId="1" fillId="15" borderId="2" xfId="9" applyNumberFormat="1" applyFont="1" applyFill="1" applyBorder="1"/>
    <xf numFmtId="9" fontId="1" fillId="0" borderId="2" xfId="9" applyNumberFormat="1" applyFont="1" applyBorder="1" applyAlignment="1">
      <alignment horizontal="left" vertical="top" wrapText="1"/>
    </xf>
    <xf numFmtId="9" fontId="1" fillId="5" borderId="2" xfId="9" applyNumberFormat="1" applyFont="1" applyFill="1" applyBorder="1" applyAlignment="1">
      <alignment horizontal="left" vertical="top" wrapText="1"/>
    </xf>
    <xf numFmtId="164" fontId="1" fillId="5" borderId="2" xfId="9" applyNumberFormat="1" applyFont="1" applyFill="1" applyBorder="1" applyAlignment="1">
      <alignment horizontal="left" vertical="top" wrapText="1"/>
    </xf>
    <xf numFmtId="9" fontId="1" fillId="5" borderId="2" xfId="9" applyNumberFormat="1" applyFont="1" applyFill="1" applyBorder="1"/>
    <xf numFmtId="164" fontId="1" fillId="5" borderId="2" xfId="9" applyNumberFormat="1" applyFont="1" applyFill="1" applyBorder="1" applyAlignment="1">
      <alignment horizontal="center"/>
    </xf>
    <xf numFmtId="9" fontId="1" fillId="15" borderId="2" xfId="9" applyNumberFormat="1" applyFont="1" applyFill="1" applyBorder="1"/>
    <xf numFmtId="164" fontId="1" fillId="15" borderId="2" xfId="9" applyNumberFormat="1" applyFont="1" applyFill="1" applyBorder="1" applyAlignment="1">
      <alignment horizontal="center"/>
    </xf>
    <xf numFmtId="0" fontId="4" fillId="2" borderId="0" xfId="0" applyFont="1" applyFill="1"/>
    <xf numFmtId="0" fontId="12" fillId="0" borderId="3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43" fontId="4" fillId="7" borderId="2" xfId="1" applyFont="1" applyFill="1" applyBorder="1" applyAlignment="1">
      <alignment horizontal="center" vertical="top"/>
    </xf>
    <xf numFmtId="2" fontId="4" fillId="7" borderId="2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164" fontId="0" fillId="0" borderId="0" xfId="8" applyNumberFormat="1" applyFont="1"/>
    <xf numFmtId="0" fontId="19" fillId="0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/>
    </xf>
    <xf numFmtId="0" fontId="11" fillId="5" borderId="2" xfId="0" applyFont="1" applyFill="1" applyBorder="1" applyAlignment="1">
      <alignment horizontal="left" vertical="top" wrapText="1"/>
    </xf>
    <xf numFmtId="164" fontId="11" fillId="5" borderId="2" xfId="0" applyNumberFormat="1" applyFont="1" applyFill="1" applyBorder="1" applyAlignment="1">
      <alignment horizontal="center" vertical="top"/>
    </xf>
    <xf numFmtId="164" fontId="0" fillId="0" borderId="2" xfId="8" applyNumberFormat="1" applyFont="1" applyBorder="1"/>
    <xf numFmtId="164" fontId="0" fillId="0" borderId="2" xfId="8" applyNumberFormat="1" applyFont="1" applyBorder="1" applyAlignment="1">
      <alignment horizontal="left"/>
    </xf>
    <xf numFmtId="164" fontId="7" fillId="0" borderId="2" xfId="8" applyNumberFormat="1" applyFont="1" applyBorder="1" applyAlignment="1">
      <alignment horizontal="left" vertical="top" wrapText="1"/>
    </xf>
    <xf numFmtId="164" fontId="0" fillId="5" borderId="2" xfId="8" applyNumberFormat="1" applyFont="1" applyFill="1" applyBorder="1"/>
    <xf numFmtId="43" fontId="0" fillId="0" borderId="2" xfId="8" applyNumberFormat="1" applyFont="1" applyBorder="1"/>
    <xf numFmtId="164" fontId="0" fillId="0" borderId="0" xfId="8" applyNumberFormat="1" applyFont="1" applyBorder="1"/>
    <xf numFmtId="164" fontId="0" fillId="0" borderId="2" xfId="4" applyNumberFormat="1" applyFont="1" applyBorder="1"/>
    <xf numFmtId="164" fontId="0" fillId="15" borderId="2" xfId="4" applyNumberFormat="1" applyFont="1" applyFill="1" applyBorder="1"/>
    <xf numFmtId="164" fontId="0" fillId="0" borderId="2" xfId="4" applyNumberFormat="1" applyFont="1" applyFill="1" applyBorder="1"/>
    <xf numFmtId="164" fontId="0" fillId="0" borderId="0" xfId="8" applyNumberFormat="1" applyFont="1" applyFill="1"/>
    <xf numFmtId="164" fontId="0" fillId="16" borderId="2" xfId="4" applyNumberFormat="1" applyFont="1" applyFill="1" applyBorder="1"/>
    <xf numFmtId="9" fontId="0" fillId="0" borderId="0" xfId="0" applyNumberFormat="1" applyFont="1"/>
    <xf numFmtId="43" fontId="0" fillId="2" borderId="2" xfId="0" applyNumberFormat="1" applyFont="1" applyFill="1" applyBorder="1"/>
    <xf numFmtId="0" fontId="3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top"/>
    </xf>
    <xf numFmtId="0" fontId="3" fillId="2" borderId="0" xfId="0" applyFont="1" applyFill="1"/>
    <xf numFmtId="164" fontId="3" fillId="2" borderId="0" xfId="8" applyNumberFormat="1" applyFont="1" applyFill="1"/>
    <xf numFmtId="0" fontId="15" fillId="2" borderId="0" xfId="0" applyFont="1" applyFill="1"/>
    <xf numFmtId="164" fontId="0" fillId="0" borderId="2" xfId="8" applyNumberFormat="1" applyFont="1" applyBorder="1" applyAlignment="1">
      <alignment horizontal="left" vertical="top" wrapText="1"/>
    </xf>
    <xf numFmtId="0" fontId="4" fillId="12" borderId="2" xfId="0" applyFont="1" applyFill="1" applyBorder="1"/>
    <xf numFmtId="164" fontId="4" fillId="12" borderId="2" xfId="8" applyNumberFormat="1" applyFont="1" applyFill="1" applyBorder="1"/>
    <xf numFmtId="164" fontId="4" fillId="12" borderId="2" xfId="0" applyNumberFormat="1" applyFont="1" applyFill="1" applyBorder="1"/>
    <xf numFmtId="0" fontId="14" fillId="0" borderId="2" xfId="7" applyFont="1" applyBorder="1" applyAlignment="1">
      <alignment horizontal="center"/>
    </xf>
    <xf numFmtId="0" fontId="14" fillId="0" borderId="2" xfId="7" applyFont="1" applyBorder="1"/>
    <xf numFmtId="0" fontId="16" fillId="0" borderId="2" xfId="7" applyFont="1" applyBorder="1" applyAlignment="1">
      <alignment horizontal="center" vertical="center"/>
    </xf>
    <xf numFmtId="0" fontId="16" fillId="0" borderId="2" xfId="7" applyFont="1" applyBorder="1" applyAlignment="1">
      <alignment vertical="center"/>
    </xf>
    <xf numFmtId="0" fontId="14" fillId="0" borderId="2" xfId="7" applyFont="1" applyBorder="1" applyAlignment="1">
      <alignment vertical="center"/>
    </xf>
    <xf numFmtId="0" fontId="14" fillId="0" borderId="2" xfId="7" applyFont="1" applyBorder="1" applyAlignment="1">
      <alignment horizontal="center" vertical="center"/>
    </xf>
    <xf numFmtId="0" fontId="14" fillId="0" borderId="2" xfId="7" applyFont="1" applyFill="1" applyBorder="1" applyAlignment="1">
      <alignment vertical="center" wrapText="1"/>
    </xf>
    <xf numFmtId="0" fontId="14" fillId="5" borderId="2" xfId="7" applyFont="1" applyFill="1" applyBorder="1" applyAlignment="1">
      <alignment horizontal="center"/>
    </xf>
    <xf numFmtId="9" fontId="14" fillId="5" borderId="2" xfId="7" applyNumberFormat="1" applyFont="1" applyFill="1" applyBorder="1"/>
    <xf numFmtId="0" fontId="14" fillId="5" borderId="2" xfId="7" applyFont="1" applyFill="1" applyBorder="1"/>
    <xf numFmtId="9" fontId="0" fillId="0" borderId="2" xfId="8" applyNumberFormat="1" applyFont="1" applyBorder="1"/>
    <xf numFmtId="164" fontId="0" fillId="0" borderId="2" xfId="8" applyNumberFormat="1" applyFont="1" applyBorder="1" applyAlignment="1"/>
    <xf numFmtId="164" fontId="0" fillId="0" borderId="2" xfId="8" applyNumberFormat="1" applyFont="1" applyFill="1" applyBorder="1"/>
    <xf numFmtId="0" fontId="20" fillId="0" borderId="0" xfId="0" applyFont="1"/>
    <xf numFmtId="164" fontId="21" fillId="0" borderId="0" xfId="8" applyNumberFormat="1" applyFont="1"/>
    <xf numFmtId="164" fontId="21" fillId="0" borderId="1" xfId="8" applyNumberFormat="1" applyFont="1" applyBorder="1" applyAlignment="1"/>
    <xf numFmtId="164" fontId="21" fillId="0" borderId="2" xfId="8" applyNumberFormat="1" applyFont="1" applyBorder="1"/>
    <xf numFmtId="164" fontId="21" fillId="0" borderId="6" xfId="8" applyNumberFormat="1" applyFont="1" applyBorder="1" applyAlignment="1"/>
    <xf numFmtId="164" fontId="22" fillId="0" borderId="2" xfId="8" applyNumberFormat="1" applyFont="1" applyBorder="1" applyAlignment="1">
      <alignment horizontal="center"/>
    </xf>
    <xf numFmtId="0" fontId="22" fillId="0" borderId="2" xfId="0" applyFont="1" applyBorder="1"/>
    <xf numFmtId="164" fontId="21" fillId="0" borderId="2" xfId="8" applyNumberFormat="1" applyFont="1" applyBorder="1" applyAlignment="1"/>
    <xf numFmtId="9" fontId="21" fillId="0" borderId="2" xfId="8" applyNumberFormat="1" applyFont="1" applyBorder="1" applyAlignment="1">
      <alignment horizontal="center" wrapText="1"/>
    </xf>
    <xf numFmtId="164" fontId="14" fillId="0" borderId="2" xfId="8" applyNumberFormat="1" applyFont="1" applyBorder="1" applyAlignment="1">
      <alignment vertical="justify" wrapText="1"/>
    </xf>
    <xf numFmtId="0" fontId="0" fillId="0" borderId="2" xfId="8" applyNumberFormat="1" applyFont="1" applyBorder="1" applyAlignment="1">
      <alignment horizontal="center"/>
    </xf>
    <xf numFmtId="164" fontId="0" fillId="5" borderId="2" xfId="8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3" fontId="4" fillId="17" borderId="2" xfId="9" applyNumberFormat="1" applyFont="1" applyFill="1" applyBorder="1"/>
    <xf numFmtId="0" fontId="4" fillId="22" borderId="2" xfId="0" applyFont="1" applyFill="1" applyBorder="1" applyAlignment="1">
      <alignment horizontal="center" vertical="center"/>
    </xf>
    <xf numFmtId="2" fontId="0" fillId="0" borderId="2" xfId="0" applyNumberFormat="1" applyBorder="1"/>
    <xf numFmtId="0" fontId="4" fillId="2" borderId="3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center"/>
    </xf>
    <xf numFmtId="164" fontId="4" fillId="10" borderId="2" xfId="8" applyNumberFormat="1" applyFont="1" applyFill="1" applyBorder="1" applyAlignment="1">
      <alignment horizontal="center"/>
    </xf>
    <xf numFmtId="164" fontId="0" fillId="0" borderId="2" xfId="8" applyNumberFormat="1" applyFont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0" fillId="0" borderId="3" xfId="5" applyFont="1" applyBorder="1" applyAlignment="1">
      <alignment horizontal="left" vertical="top" wrapText="1"/>
    </xf>
    <xf numFmtId="0" fontId="0" fillId="0" borderId="2" xfId="5" applyFont="1" applyBorder="1" applyAlignment="1">
      <alignment horizontal="left" vertical="top" wrapText="1"/>
    </xf>
    <xf numFmtId="0" fontId="0" fillId="0" borderId="0" xfId="0" applyFont="1" applyFill="1" applyBorder="1"/>
    <xf numFmtId="0" fontId="13" fillId="0" borderId="2" xfId="5" applyFont="1" applyFill="1" applyBorder="1" applyAlignment="1">
      <alignment horizontal="center" vertical="top" wrapText="1"/>
    </xf>
    <xf numFmtId="0" fontId="13" fillId="11" borderId="2" xfId="5" applyFont="1" applyFill="1" applyBorder="1" applyAlignment="1">
      <alignment horizontal="center" vertical="top" wrapText="1"/>
    </xf>
    <xf numFmtId="0" fontId="1" fillId="2" borderId="2" xfId="5" applyFont="1" applyFill="1" applyBorder="1" applyAlignment="1">
      <alignment wrapText="1"/>
    </xf>
    <xf numFmtId="0" fontId="0" fillId="0" borderId="2" xfId="5" applyFont="1" applyBorder="1"/>
    <xf numFmtId="0" fontId="0" fillId="7" borderId="2" xfId="5" applyFont="1" applyFill="1" applyBorder="1" applyAlignment="1">
      <alignment horizontal="left" wrapText="1"/>
    </xf>
    <xf numFmtId="0" fontId="0" fillId="0" borderId="2" xfId="5" applyFont="1" applyBorder="1" applyAlignment="1">
      <alignment horizontal="left" wrapText="1"/>
    </xf>
    <xf numFmtId="0" fontId="0" fillId="5" borderId="2" xfId="5" applyFont="1" applyFill="1" applyBorder="1" applyAlignment="1">
      <alignment horizontal="left" wrapText="1"/>
    </xf>
    <xf numFmtId="0" fontId="4" fillId="0" borderId="0" xfId="5" applyFont="1" applyFill="1" applyBorder="1" applyAlignment="1"/>
    <xf numFmtId="0" fontId="1" fillId="0" borderId="0" xfId="5" applyFont="1" applyFill="1" applyBorder="1"/>
    <xf numFmtId="0" fontId="4" fillId="0" borderId="0" xfId="5" applyFont="1" applyFill="1" applyBorder="1"/>
    <xf numFmtId="164" fontId="0" fillId="0" borderId="2" xfId="0" applyNumberFormat="1" applyFont="1" applyBorder="1" applyAlignment="1">
      <alignment horizontal="center"/>
    </xf>
    <xf numFmtId="164" fontId="4" fillId="0" borderId="0" xfId="3" applyNumberFormat="1" applyFont="1" applyFill="1" applyBorder="1"/>
    <xf numFmtId="9" fontId="0" fillId="0" borderId="0" xfId="0" applyNumberFormat="1" applyFont="1" applyFill="1" applyAlignment="1">
      <alignment horizontal="left" wrapText="1"/>
    </xf>
    <xf numFmtId="164" fontId="0" fillId="0" borderId="2" xfId="8" applyNumberFormat="1" applyFont="1" applyBorder="1" applyAlignment="1">
      <alignment horizontal="center" vertical="justify" wrapText="1"/>
    </xf>
    <xf numFmtId="0" fontId="4" fillId="0" borderId="0" xfId="0" applyFont="1" applyFill="1" applyAlignment="1"/>
    <xf numFmtId="0" fontId="14" fillId="0" borderId="2" xfId="7" applyFont="1" applyBorder="1" applyAlignment="1">
      <alignment horizontal="right"/>
    </xf>
    <xf numFmtId="164" fontId="0" fillId="0" borderId="2" xfId="8" applyNumberFormat="1" applyFont="1" applyBorder="1" applyAlignment="1">
      <alignment horizontal="center" wrapText="1"/>
    </xf>
    <xf numFmtId="164" fontId="0" fillId="0" borderId="0" xfId="8" applyNumberFormat="1" applyFont="1" applyFill="1" applyAlignment="1">
      <alignment wrapText="1"/>
    </xf>
    <xf numFmtId="164" fontId="0" fillId="0" borderId="2" xfId="8" applyNumberFormat="1" applyFont="1" applyBorder="1" applyAlignment="1">
      <alignment wrapText="1"/>
    </xf>
    <xf numFmtId="2" fontId="26" fillId="0" borderId="0" xfId="0" applyNumberFormat="1" applyFont="1" applyBorder="1" applyAlignment="1">
      <alignment vertical="justify" wrapText="1"/>
    </xf>
    <xf numFmtId="0" fontId="25" fillId="0" borderId="0" xfId="0" applyFont="1" applyFill="1" applyBorder="1"/>
    <xf numFmtId="164" fontId="0" fillId="2" borderId="2" xfId="8" applyNumberFormat="1" applyFont="1" applyFill="1" applyBorder="1"/>
    <xf numFmtId="164" fontId="0" fillId="0" borderId="2" xfId="8" applyNumberFormat="1" applyFont="1" applyBorder="1" applyAlignment="1">
      <alignment horizontal="left" vertical="justify" wrapText="1"/>
    </xf>
    <xf numFmtId="164" fontId="1" fillId="0" borderId="2" xfId="8" applyNumberFormat="1" applyFont="1" applyBorder="1" applyAlignment="1">
      <alignment horizontal="left"/>
    </xf>
    <xf numFmtId="0" fontId="4" fillId="11" borderId="2" xfId="0" applyFont="1" applyFill="1" applyBorder="1"/>
    <xf numFmtId="2" fontId="0" fillId="11" borderId="2" xfId="0" applyNumberFormat="1" applyFill="1" applyBorder="1"/>
    <xf numFmtId="164" fontId="1" fillId="0" borderId="2" xfId="9" applyNumberFormat="1" applyFont="1" applyBorder="1" applyAlignment="1">
      <alignment horizontal="center"/>
    </xf>
    <xf numFmtId="0" fontId="4" fillId="0" borderId="0" xfId="5" applyFont="1" applyFill="1"/>
    <xf numFmtId="0" fontId="4" fillId="0" borderId="0" xfId="0" applyFont="1" applyFill="1"/>
    <xf numFmtId="0" fontId="1" fillId="0" borderId="3" xfId="5" applyFont="1" applyBorder="1"/>
    <xf numFmtId="0" fontId="1" fillId="9" borderId="5" xfId="5" applyFont="1" applyFill="1" applyBorder="1"/>
    <xf numFmtId="0" fontId="3" fillId="0" borderId="0" xfId="5" applyFont="1" applyFill="1" applyBorder="1"/>
    <xf numFmtId="0" fontId="3" fillId="0" borderId="0" xfId="5" applyFont="1" applyFill="1"/>
    <xf numFmtId="0" fontId="13" fillId="0" borderId="0" xfId="5" applyFont="1" applyFill="1" applyBorder="1" applyAlignment="1">
      <alignment vertical="top"/>
    </xf>
    <xf numFmtId="0" fontId="15" fillId="0" borderId="0" xfId="5" applyFont="1" applyFill="1"/>
    <xf numFmtId="164" fontId="0" fillId="0" borderId="2" xfId="9" applyNumberFormat="1" applyFont="1" applyBorder="1" applyAlignment="1">
      <alignment horizontal="center" wrapText="1"/>
    </xf>
    <xf numFmtId="164" fontId="1" fillId="0" borderId="2" xfId="9" applyNumberFormat="1" applyFont="1" applyBorder="1" applyAlignment="1">
      <alignment horizontal="center" wrapText="1"/>
    </xf>
    <xf numFmtId="164" fontId="1" fillId="0" borderId="0" xfId="9" applyNumberFormat="1" applyFont="1" applyAlignment="1">
      <alignment horizontal="center"/>
    </xf>
    <xf numFmtId="0" fontId="1" fillId="0" borderId="0" xfId="5" applyFont="1" applyAlignment="1">
      <alignment horizontal="center"/>
    </xf>
    <xf numFmtId="43" fontId="1" fillId="0" borderId="0" xfId="9" applyNumberFormat="1" applyFont="1" applyFill="1"/>
    <xf numFmtId="164" fontId="0" fillId="0" borderId="2" xfId="9" applyNumberFormat="1" applyFont="1" applyFill="1" applyBorder="1" applyAlignment="1">
      <alignment horizontal="center"/>
    </xf>
    <xf numFmtId="43" fontId="1" fillId="0" borderId="2" xfId="9" applyNumberFormat="1" applyFont="1" applyFill="1" applyBorder="1" applyAlignment="1">
      <alignment horizontal="center"/>
    </xf>
    <xf numFmtId="164" fontId="1" fillId="0" borderId="2" xfId="9" applyNumberFormat="1" applyFont="1" applyFill="1" applyBorder="1" applyAlignment="1">
      <alignment horizontal="center"/>
    </xf>
    <xf numFmtId="164" fontId="0" fillId="0" borderId="2" xfId="9" applyNumberFormat="1" applyFont="1" applyBorder="1" applyAlignment="1">
      <alignment horizontal="center"/>
    </xf>
    <xf numFmtId="9" fontId="1" fillId="0" borderId="0" xfId="5" applyNumberFormat="1" applyFont="1" applyFill="1" applyBorder="1"/>
    <xf numFmtId="164" fontId="1" fillId="0" borderId="0" xfId="5" applyNumberFormat="1" applyFont="1" applyFill="1" applyBorder="1"/>
    <xf numFmtId="164" fontId="1" fillId="0" borderId="0" xfId="3" applyNumberFormat="1" applyFont="1" applyFill="1"/>
    <xf numFmtId="164" fontId="1" fillId="0" borderId="0" xfId="3" applyNumberFormat="1" applyFont="1" applyFill="1" applyBorder="1"/>
    <xf numFmtId="43" fontId="1" fillId="0" borderId="0" xfId="3" applyNumberFormat="1" applyFont="1" applyFill="1" applyBorder="1"/>
    <xf numFmtId="164" fontId="17" fillId="0" borderId="0" xfId="3" applyNumberFormat="1" applyFont="1" applyFill="1"/>
    <xf numFmtId="164" fontId="4" fillId="0" borderId="0" xfId="5" applyNumberFormat="1" applyFont="1" applyFill="1" applyBorder="1"/>
    <xf numFmtId="164" fontId="1" fillId="0" borderId="0" xfId="3" applyNumberFormat="1" applyFont="1" applyFill="1" applyAlignment="1">
      <alignment horizontal="center"/>
    </xf>
    <xf numFmtId="0" fontId="1" fillId="0" borderId="0" xfId="10" applyFont="1" applyFill="1"/>
    <xf numFmtId="164" fontId="4" fillId="22" borderId="5" xfId="3" applyNumberFormat="1" applyFont="1" applyFill="1" applyBorder="1" applyAlignment="1">
      <alignment horizontal="left"/>
    </xf>
    <xf numFmtId="164" fontId="1" fillId="2" borderId="5" xfId="3" applyNumberFormat="1" applyFont="1" applyFill="1" applyBorder="1"/>
    <xf numFmtId="164" fontId="4" fillId="22" borderId="5" xfId="3" applyNumberFormat="1" applyFont="1" applyFill="1" applyBorder="1"/>
    <xf numFmtId="164" fontId="1" fillId="22" borderId="5" xfId="3" applyNumberFormat="1" applyFont="1" applyFill="1" applyBorder="1"/>
    <xf numFmtId="164" fontId="1" fillId="0" borderId="0" xfId="3" applyNumberFormat="1" applyFont="1" applyFill="1" applyBorder="1" applyAlignment="1">
      <alignment horizontal="center"/>
    </xf>
    <xf numFmtId="164" fontId="1" fillId="0" borderId="8" xfId="3" applyNumberFormat="1" applyFont="1" applyFill="1" applyBorder="1" applyAlignment="1">
      <alignment horizontal="center"/>
    </xf>
    <xf numFmtId="164" fontId="4" fillId="0" borderId="3" xfId="9" applyNumberFormat="1" applyFont="1" applyFill="1" applyBorder="1"/>
    <xf numFmtId="164" fontId="1" fillId="0" borderId="3" xfId="9" applyNumberFormat="1" applyFont="1" applyFill="1" applyBorder="1"/>
    <xf numFmtId="0" fontId="0" fillId="0" borderId="13" xfId="0" applyFont="1" applyBorder="1"/>
    <xf numFmtId="164" fontId="0" fillId="0" borderId="13" xfId="8" applyNumberFormat="1" applyFont="1" applyBorder="1"/>
    <xf numFmtId="0" fontId="4" fillId="0" borderId="13" xfId="0" applyFont="1" applyBorder="1"/>
    <xf numFmtId="0" fontId="3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3" fillId="0" borderId="0" xfId="0" applyFont="1" applyFill="1"/>
    <xf numFmtId="164" fontId="3" fillId="0" borderId="0" xfId="8" applyNumberFormat="1" applyFont="1" applyFill="1"/>
    <xf numFmtId="0" fontId="15" fillId="0" borderId="0" xfId="0" applyFont="1" applyFill="1"/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/>
    <xf numFmtId="164" fontId="9" fillId="0" borderId="0" xfId="8" applyNumberFormat="1" applyFont="1" applyFill="1"/>
    <xf numFmtId="0" fontId="5" fillId="0" borderId="0" xfId="0" applyFont="1" applyFill="1"/>
    <xf numFmtId="164" fontId="5" fillId="0" borderId="0" xfId="8" applyNumberFormat="1" applyFont="1" applyFill="1" applyBorder="1" applyAlignment="1">
      <alignment horizontal="center"/>
    </xf>
    <xf numFmtId="164" fontId="5" fillId="0" borderId="0" xfId="8" applyNumberFormat="1" applyFont="1" applyFill="1" applyBorder="1"/>
    <xf numFmtId="164" fontId="5" fillId="0" borderId="0" xfId="8" applyNumberFormat="1" applyFont="1" applyFill="1"/>
    <xf numFmtId="164" fontId="2" fillId="0" borderId="0" xfId="8" applyNumberFormat="1" applyFont="1" applyFill="1" applyBorder="1"/>
    <xf numFmtId="2" fontId="0" fillId="0" borderId="5" xfId="0" applyNumberFormat="1" applyFont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167" fontId="4" fillId="0" borderId="5" xfId="0" applyNumberFormat="1" applyFont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 vertical="top"/>
    </xf>
    <xf numFmtId="2" fontId="4" fillId="2" borderId="2" xfId="1" applyNumberFormat="1" applyFont="1" applyFill="1" applyBorder="1" applyAlignment="1">
      <alignment horizontal="center" vertical="top"/>
    </xf>
    <xf numFmtId="167" fontId="0" fillId="0" borderId="0" xfId="0" applyNumberFormat="1" applyFont="1"/>
    <xf numFmtId="0" fontId="0" fillId="5" borderId="0" xfId="0" applyFont="1" applyFill="1"/>
    <xf numFmtId="0" fontId="14" fillId="0" borderId="2" xfId="0" applyFont="1" applyBorder="1"/>
    <xf numFmtId="0" fontId="14" fillId="10" borderId="2" xfId="0" applyFont="1" applyFill="1" applyBorder="1"/>
    <xf numFmtId="0" fontId="14" fillId="6" borderId="2" xfId="0" applyFont="1" applyFill="1" applyBorder="1"/>
    <xf numFmtId="0" fontId="16" fillId="10" borderId="2" xfId="0" applyFont="1" applyFill="1" applyBorder="1"/>
    <xf numFmtId="0" fontId="16" fillId="6" borderId="2" xfId="0" applyFont="1" applyFill="1" applyBorder="1"/>
    <xf numFmtId="0" fontId="14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vertical="top" wrapText="1"/>
    </xf>
    <xf numFmtId="0" fontId="14" fillId="2" borderId="2" xfId="0" applyFont="1" applyFill="1" applyBorder="1" applyAlignment="1">
      <alignment wrapText="1"/>
    </xf>
    <xf numFmtId="164" fontId="14" fillId="2" borderId="2" xfId="3" applyNumberFormat="1" applyFont="1" applyFill="1" applyBorder="1" applyAlignment="1">
      <alignment vertical="top" wrapText="1"/>
    </xf>
    <xf numFmtId="164" fontId="14" fillId="2" borderId="2" xfId="0" applyNumberFormat="1" applyFont="1" applyFill="1" applyBorder="1" applyAlignment="1">
      <alignment vertical="top" wrapText="1"/>
    </xf>
    <xf numFmtId="165" fontId="14" fillId="2" borderId="2" xfId="0" applyNumberFormat="1" applyFont="1" applyFill="1" applyBorder="1" applyAlignment="1">
      <alignment vertical="top" wrapText="1"/>
    </xf>
    <xf numFmtId="0" fontId="14" fillId="2" borderId="2" xfId="0" applyFont="1" applyFill="1" applyBorder="1"/>
    <xf numFmtId="164" fontId="14" fillId="2" borderId="2" xfId="1" applyNumberFormat="1" applyFont="1" applyFill="1" applyBorder="1"/>
    <xf numFmtId="164" fontId="14" fillId="10" borderId="2" xfId="1" applyNumberFormat="1" applyFont="1" applyFill="1" applyBorder="1"/>
    <xf numFmtId="164" fontId="16" fillId="6" borderId="2" xfId="1" applyNumberFormat="1" applyFont="1" applyFill="1" applyBorder="1"/>
    <xf numFmtId="0" fontId="14" fillId="0" borderId="0" xfId="0" applyFont="1"/>
    <xf numFmtId="0" fontId="0" fillId="0" borderId="1" xfId="0" applyFont="1" applyBorder="1"/>
    <xf numFmtId="0" fontId="14" fillId="5" borderId="2" xfId="0" applyFont="1" applyFill="1" applyBorder="1"/>
    <xf numFmtId="0" fontId="0" fillId="2" borderId="0" xfId="0" applyFont="1" applyFill="1" applyBorder="1" applyAlignment="1">
      <alignment horizontal="left" vertical="top" wrapText="1"/>
    </xf>
    <xf numFmtId="0" fontId="14" fillId="0" borderId="0" xfId="0" applyFont="1" applyBorder="1"/>
    <xf numFmtId="164" fontId="29" fillId="0" borderId="2" xfId="1" applyNumberFormat="1" applyFont="1" applyBorder="1"/>
    <xf numFmtId="164" fontId="29" fillId="10" borderId="2" xfId="1" applyNumberFormat="1" applyFont="1" applyFill="1" applyBorder="1"/>
    <xf numFmtId="165" fontId="14" fillId="10" borderId="2" xfId="0" applyNumberFormat="1" applyFont="1" applyFill="1" applyBorder="1"/>
    <xf numFmtId="165" fontId="14" fillId="6" borderId="2" xfId="0" applyNumberFormat="1" applyFont="1" applyFill="1" applyBorder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164" fontId="0" fillId="0" borderId="0" xfId="1" applyNumberFormat="1" applyFont="1"/>
    <xf numFmtId="0" fontId="16" fillId="15" borderId="2" xfId="0" applyFont="1" applyFill="1" applyBorder="1"/>
    <xf numFmtId="0" fontId="16" fillId="0" borderId="0" xfId="0" applyFont="1"/>
    <xf numFmtId="164" fontId="16" fillId="10" borderId="7" xfId="1" applyNumberFormat="1" applyFont="1" applyFill="1" applyBorder="1" applyAlignment="1">
      <alignment horizontal="center"/>
    </xf>
    <xf numFmtId="164" fontId="16" fillId="10" borderId="7" xfId="1" applyNumberFormat="1" applyFont="1" applyFill="1" applyBorder="1"/>
    <xf numFmtId="164" fontId="16" fillId="15" borderId="7" xfId="1" applyNumberFormat="1" applyFont="1" applyFill="1" applyBorder="1"/>
    <xf numFmtId="164" fontId="14" fillId="9" borderId="2" xfId="1" applyNumberFormat="1" applyFont="1" applyFill="1" applyBorder="1"/>
    <xf numFmtId="164" fontId="16" fillId="10" borderId="2" xfId="1" applyNumberFormat="1" applyFont="1" applyFill="1" applyBorder="1" applyAlignment="1">
      <alignment horizontal="center"/>
    </xf>
    <xf numFmtId="164" fontId="16" fillId="10" borderId="2" xfId="1" applyNumberFormat="1" applyFont="1" applyFill="1" applyBorder="1"/>
    <xf numFmtId="164" fontId="16" fillId="15" borderId="2" xfId="1" applyNumberFormat="1" applyFont="1" applyFill="1" applyBorder="1"/>
    <xf numFmtId="164" fontId="14" fillId="0" borderId="2" xfId="1" applyNumberFormat="1" applyFont="1" applyBorder="1"/>
    <xf numFmtId="0" fontId="14" fillId="25" borderId="0" xfId="0" applyFont="1" applyFill="1"/>
    <xf numFmtId="43" fontId="16" fillId="10" borderId="2" xfId="1" applyNumberFormat="1" applyFont="1" applyFill="1" applyBorder="1"/>
    <xf numFmtId="164" fontId="16" fillId="5" borderId="2" xfId="1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10" borderId="0" xfId="0" applyFont="1" applyFill="1"/>
    <xf numFmtId="0" fontId="13" fillId="0" borderId="14" xfId="0" applyFont="1" applyBorder="1" applyAlignment="1">
      <alignment horizontal="left" vertical="top" wrapText="1"/>
    </xf>
    <xf numFmtId="0" fontId="13" fillId="2" borderId="11" xfId="0" applyFont="1" applyFill="1" applyBorder="1" applyAlignment="1">
      <alignment vertical="center"/>
    </xf>
    <xf numFmtId="164" fontId="0" fillId="0" borderId="2" xfId="8" applyNumberFormat="1" applyFont="1" applyBorder="1" applyAlignment="1">
      <alignment horizontal="center"/>
    </xf>
    <xf numFmtId="9" fontId="4" fillId="0" borderId="0" xfId="42" applyFont="1"/>
    <xf numFmtId="9" fontId="0" fillId="0" borderId="0" xfId="42" applyFont="1"/>
    <xf numFmtId="1" fontId="0" fillId="0" borderId="0" xfId="0" applyNumberFormat="1" applyFont="1"/>
    <xf numFmtId="2" fontId="4" fillId="15" borderId="2" xfId="5" applyNumberFormat="1" applyFont="1" applyFill="1" applyBorder="1" applyAlignment="1">
      <alignment horizontal="left" vertical="center" wrapText="1"/>
    </xf>
    <xf numFmtId="2" fontId="4" fillId="15" borderId="3" xfId="5" applyNumberFormat="1" applyFont="1" applyFill="1" applyBorder="1" applyAlignment="1">
      <alignment horizontal="left" vertical="center" wrapText="1"/>
    </xf>
    <xf numFmtId="2" fontId="4" fillId="15" borderId="4" xfId="5" applyNumberFormat="1" applyFont="1" applyFill="1" applyBorder="1" applyAlignment="1">
      <alignment horizontal="left" vertical="center" wrapText="1"/>
    </xf>
    <xf numFmtId="2" fontId="4" fillId="15" borderId="5" xfId="5" applyNumberFormat="1" applyFont="1" applyFill="1" applyBorder="1" applyAlignment="1">
      <alignment horizontal="left" vertical="center" wrapText="1"/>
    </xf>
    <xf numFmtId="43" fontId="1" fillId="22" borderId="2" xfId="1" applyFont="1" applyFill="1" applyBorder="1" applyAlignment="1">
      <alignment horizontal="center" wrapText="1"/>
    </xf>
    <xf numFmtId="0" fontId="1" fillId="3" borderId="2" xfId="5" applyFont="1" applyFill="1" applyBorder="1" applyAlignment="1">
      <alignment horizontal="center"/>
    </xf>
    <xf numFmtId="43" fontId="12" fillId="23" borderId="2" xfId="1" applyFont="1" applyFill="1" applyBorder="1" applyAlignment="1">
      <alignment horizontal="center" vertical="top" wrapText="1"/>
    </xf>
    <xf numFmtId="0" fontId="1" fillId="9" borderId="2" xfId="5" applyFont="1" applyFill="1" applyBorder="1" applyAlignment="1">
      <alignment horizontal="center" vertical="top"/>
    </xf>
    <xf numFmtId="43" fontId="12" fillId="4" borderId="3" xfId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43" fontId="12" fillId="4" borderId="5" xfId="1" applyFont="1" applyFill="1" applyBorder="1" applyAlignment="1">
      <alignment horizontal="center" vertical="top" wrapText="1"/>
    </xf>
    <xf numFmtId="0" fontId="1" fillId="0" borderId="3" xfId="5" applyFont="1" applyBorder="1" applyAlignment="1">
      <alignment horizontal="center" vertical="top"/>
    </xf>
    <xf numFmtId="0" fontId="1" fillId="0" borderId="4" xfId="5" applyFont="1" applyBorder="1" applyAlignment="1">
      <alignment horizontal="center" vertical="top"/>
    </xf>
    <xf numFmtId="0" fontId="1" fillId="0" borderId="5" xfId="5" applyFont="1" applyBorder="1" applyAlignment="1">
      <alignment horizontal="center" vertical="top"/>
    </xf>
    <xf numFmtId="0" fontId="1" fillId="0" borderId="3" xfId="5" applyFont="1" applyBorder="1" applyAlignment="1">
      <alignment horizontal="left"/>
    </xf>
    <xf numFmtId="0" fontId="1" fillId="0" borderId="4" xfId="5" applyFont="1" applyBorder="1" applyAlignment="1">
      <alignment horizontal="left"/>
    </xf>
    <xf numFmtId="0" fontId="1" fillId="0" borderId="5" xfId="5" applyFont="1" applyBorder="1" applyAlignment="1">
      <alignment horizontal="left"/>
    </xf>
    <xf numFmtId="0" fontId="2" fillId="8" borderId="3" xfId="5" applyFont="1" applyFill="1" applyBorder="1" applyAlignment="1">
      <alignment horizontal="center" vertical="top"/>
    </xf>
    <xf numFmtId="0" fontId="2" fillId="8" borderId="4" xfId="5" applyFont="1" applyFill="1" applyBorder="1" applyAlignment="1">
      <alignment horizontal="center" vertical="top"/>
    </xf>
    <xf numFmtId="0" fontId="1" fillId="9" borderId="5" xfId="5" applyFont="1" applyFill="1" applyBorder="1" applyAlignment="1">
      <alignment horizontal="center"/>
    </xf>
    <xf numFmtId="0" fontId="1" fillId="9" borderId="2" xfId="5" applyFont="1" applyFill="1" applyBorder="1" applyAlignment="1">
      <alignment horizontal="center"/>
    </xf>
    <xf numFmtId="0" fontId="1" fillId="17" borderId="3" xfId="5" applyFont="1" applyFill="1" applyBorder="1" applyAlignment="1">
      <alignment horizontal="center"/>
    </xf>
    <xf numFmtId="0" fontId="1" fillId="17" borderId="4" xfId="5" applyFont="1" applyFill="1" applyBorder="1" applyAlignment="1">
      <alignment horizontal="center"/>
    </xf>
    <xf numFmtId="0" fontId="1" fillId="17" borderId="5" xfId="5" applyFont="1" applyFill="1" applyBorder="1" applyAlignment="1">
      <alignment horizontal="center"/>
    </xf>
    <xf numFmtId="0" fontId="1" fillId="20" borderId="3" xfId="5" applyFont="1" applyFill="1" applyBorder="1" applyAlignment="1">
      <alignment horizontal="center"/>
    </xf>
    <xf numFmtId="0" fontId="1" fillId="20" borderId="4" xfId="5" applyFont="1" applyFill="1" applyBorder="1" applyAlignment="1">
      <alignment horizontal="center"/>
    </xf>
    <xf numFmtId="0" fontId="1" fillId="20" borderId="5" xfId="5" applyFont="1" applyFill="1" applyBorder="1" applyAlignment="1">
      <alignment horizontal="center"/>
    </xf>
    <xf numFmtId="0" fontId="0" fillId="0" borderId="3" xfId="5" applyFont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0" fillId="0" borderId="3" xfId="5" applyFont="1" applyBorder="1" applyAlignment="1">
      <alignment horizontal="left"/>
    </xf>
    <xf numFmtId="0" fontId="4" fillId="11" borderId="3" xfId="5" applyFont="1" applyFill="1" applyBorder="1" applyAlignment="1">
      <alignment horizontal="center"/>
    </xf>
    <xf numFmtId="0" fontId="4" fillId="11" borderId="4" xfId="5" applyFont="1" applyFill="1" applyBorder="1" applyAlignment="1">
      <alignment horizontal="center"/>
    </xf>
    <xf numFmtId="0" fontId="4" fillId="11" borderId="5" xfId="5" applyFont="1" applyFill="1" applyBorder="1" applyAlignment="1">
      <alignment horizontal="center"/>
    </xf>
    <xf numFmtId="0" fontId="1" fillId="0" borderId="2" xfId="5" applyFont="1" applyBorder="1" applyAlignment="1">
      <alignment horizontal="center"/>
    </xf>
    <xf numFmtId="0" fontId="4" fillId="10" borderId="2" xfId="5" applyFont="1" applyFill="1" applyBorder="1" applyAlignment="1">
      <alignment horizontal="center"/>
    </xf>
    <xf numFmtId="164" fontId="1" fillId="0" borderId="2" xfId="9" applyNumberFormat="1" applyFont="1" applyBorder="1" applyAlignment="1">
      <alignment horizontal="center"/>
    </xf>
    <xf numFmtId="164" fontId="4" fillId="10" borderId="2" xfId="9" applyNumberFormat="1" applyFont="1" applyFill="1" applyBorder="1" applyAlignment="1">
      <alignment horizontal="center"/>
    </xf>
    <xf numFmtId="0" fontId="4" fillId="13" borderId="0" xfId="5" applyFont="1" applyFill="1" applyAlignment="1">
      <alignment horizontal="center"/>
    </xf>
    <xf numFmtId="0" fontId="5" fillId="8" borderId="3" xfId="5" applyFont="1" applyFill="1" applyBorder="1" applyAlignment="1">
      <alignment horizontal="center" vertical="top"/>
    </xf>
    <xf numFmtId="0" fontId="5" fillId="8" borderId="4" xfId="5" applyFont="1" applyFill="1" applyBorder="1" applyAlignment="1">
      <alignment horizontal="center" vertical="top"/>
    </xf>
    <xf numFmtId="0" fontId="4" fillId="17" borderId="3" xfId="5" applyFont="1" applyFill="1" applyBorder="1" applyAlignment="1">
      <alignment horizontal="center"/>
    </xf>
    <xf numFmtId="0" fontId="4" fillId="17" borderId="4" xfId="5" applyFont="1" applyFill="1" applyBorder="1" applyAlignment="1">
      <alignment horizontal="center"/>
    </xf>
    <xf numFmtId="0" fontId="4" fillId="17" borderId="5" xfId="5" applyFont="1" applyFill="1" applyBorder="1" applyAlignment="1">
      <alignment horizontal="center"/>
    </xf>
    <xf numFmtId="0" fontId="4" fillId="20" borderId="3" xfId="5" applyFont="1" applyFill="1" applyBorder="1" applyAlignment="1">
      <alignment horizontal="center"/>
    </xf>
    <xf numFmtId="0" fontId="4" fillId="20" borderId="4" xfId="5" applyFont="1" applyFill="1" applyBorder="1" applyAlignment="1">
      <alignment horizontal="center"/>
    </xf>
    <xf numFmtId="0" fontId="4" fillId="20" borderId="5" xfId="5" applyFont="1" applyFill="1" applyBorder="1" applyAlignment="1">
      <alignment horizontal="center"/>
    </xf>
    <xf numFmtId="0" fontId="4" fillId="11" borderId="3" xfId="5" applyFont="1" applyFill="1" applyBorder="1" applyAlignment="1">
      <alignment horizontal="center" vertical="top" wrapText="1"/>
    </xf>
    <xf numFmtId="0" fontId="4" fillId="11" borderId="4" xfId="5" applyFont="1" applyFill="1" applyBorder="1" applyAlignment="1">
      <alignment horizontal="center" vertical="top" wrapText="1"/>
    </xf>
    <xf numFmtId="0" fontId="4" fillId="11" borderId="5" xfId="5" applyFont="1" applyFill="1" applyBorder="1" applyAlignment="1">
      <alignment horizontal="center" vertical="top" wrapText="1"/>
    </xf>
    <xf numFmtId="164" fontId="1" fillId="9" borderId="2" xfId="9" applyNumberFormat="1" applyFont="1" applyFill="1" applyBorder="1" applyAlignment="1">
      <alignment horizontal="center"/>
    </xf>
    <xf numFmtId="164" fontId="4" fillId="20" borderId="3" xfId="9" applyNumberFormat="1" applyFont="1" applyFill="1" applyBorder="1" applyAlignment="1">
      <alignment horizontal="center"/>
    </xf>
    <xf numFmtId="164" fontId="4" fillId="20" borderId="4" xfId="9" applyNumberFormat="1" applyFont="1" applyFill="1" applyBorder="1" applyAlignment="1">
      <alignment horizontal="center"/>
    </xf>
    <xf numFmtId="164" fontId="4" fillId="20" borderId="5" xfId="9" applyNumberFormat="1" applyFont="1" applyFill="1" applyBorder="1" applyAlignment="1">
      <alignment horizontal="center"/>
    </xf>
    <xf numFmtId="164" fontId="1" fillId="2" borderId="2" xfId="9" applyNumberFormat="1" applyFont="1" applyFill="1" applyBorder="1" applyAlignment="1">
      <alignment horizontal="center"/>
    </xf>
    <xf numFmtId="164" fontId="4" fillId="17" borderId="3" xfId="9" applyNumberFormat="1" applyFont="1" applyFill="1" applyBorder="1" applyAlignment="1">
      <alignment horizontal="center"/>
    </xf>
    <xf numFmtId="164" fontId="4" fillId="17" borderId="4" xfId="9" applyNumberFormat="1" applyFont="1" applyFill="1" applyBorder="1" applyAlignment="1">
      <alignment horizontal="center"/>
    </xf>
    <xf numFmtId="164" fontId="4" fillId="17" borderId="5" xfId="9" applyNumberFormat="1" applyFont="1" applyFill="1" applyBorder="1" applyAlignment="1">
      <alignment horizontal="center"/>
    </xf>
    <xf numFmtId="164" fontId="1" fillId="17" borderId="3" xfId="9" applyNumberFormat="1" applyFont="1" applyFill="1" applyBorder="1" applyAlignment="1">
      <alignment horizontal="center"/>
    </xf>
    <xf numFmtId="164" fontId="1" fillId="17" borderId="4" xfId="9" applyNumberFormat="1" applyFont="1" applyFill="1" applyBorder="1" applyAlignment="1">
      <alignment horizontal="center"/>
    </xf>
    <xf numFmtId="164" fontId="1" fillId="17" borderId="5" xfId="9" applyNumberFormat="1" applyFont="1" applyFill="1" applyBorder="1" applyAlignment="1">
      <alignment horizontal="center"/>
    </xf>
    <xf numFmtId="164" fontId="1" fillId="20" borderId="3" xfId="9" applyNumberFormat="1" applyFont="1" applyFill="1" applyBorder="1" applyAlignment="1">
      <alignment horizontal="center"/>
    </xf>
    <xf numFmtId="164" fontId="1" fillId="20" borderId="4" xfId="9" applyNumberFormat="1" applyFont="1" applyFill="1" applyBorder="1" applyAlignment="1">
      <alignment horizontal="center"/>
    </xf>
    <xf numFmtId="164" fontId="1" fillId="20" borderId="5" xfId="9" applyNumberFormat="1" applyFont="1" applyFill="1" applyBorder="1" applyAlignment="1">
      <alignment horizontal="center"/>
    </xf>
    <xf numFmtId="0" fontId="4" fillId="11" borderId="3" xfId="5" applyFont="1" applyFill="1" applyBorder="1" applyAlignment="1">
      <alignment horizontal="left" vertical="top" wrapText="1"/>
    </xf>
    <xf numFmtId="0" fontId="4" fillId="11" borderId="4" xfId="5" applyFont="1" applyFill="1" applyBorder="1" applyAlignment="1">
      <alignment horizontal="left" vertical="top" wrapText="1"/>
    </xf>
    <xf numFmtId="0" fontId="4" fillId="11" borderId="5" xfId="5" applyFont="1" applyFill="1" applyBorder="1" applyAlignment="1">
      <alignment horizontal="left" vertical="top" wrapText="1"/>
    </xf>
    <xf numFmtId="0" fontId="1" fillId="2" borderId="3" xfId="5" applyFont="1" applyFill="1" applyBorder="1" applyAlignment="1">
      <alignment horizontal="left"/>
    </xf>
    <xf numFmtId="0" fontId="1" fillId="2" borderId="4" xfId="5" applyFont="1" applyFill="1" applyBorder="1" applyAlignment="1">
      <alignment horizontal="left"/>
    </xf>
    <xf numFmtId="0" fontId="1" fillId="2" borderId="5" xfId="5" applyFont="1" applyFill="1" applyBorder="1" applyAlignment="1">
      <alignment horizontal="left"/>
    </xf>
    <xf numFmtId="0" fontId="4" fillId="11" borderId="3" xfId="5" applyFont="1" applyFill="1" applyBorder="1" applyAlignment="1">
      <alignment horizontal="left"/>
    </xf>
    <xf numFmtId="0" fontId="4" fillId="11" borderId="4" xfId="5" applyFont="1" applyFill="1" applyBorder="1" applyAlignment="1">
      <alignment horizontal="left"/>
    </xf>
    <xf numFmtId="0" fontId="4" fillId="11" borderId="5" xfId="5" applyFont="1" applyFill="1" applyBorder="1" applyAlignment="1">
      <alignment horizontal="left"/>
    </xf>
    <xf numFmtId="0" fontId="1" fillId="14" borderId="3" xfId="5" applyFont="1" applyFill="1" applyBorder="1" applyAlignment="1">
      <alignment horizontal="center"/>
    </xf>
    <xf numFmtId="0" fontId="1" fillId="14" borderId="4" xfId="5" applyFont="1" applyFill="1" applyBorder="1" applyAlignment="1">
      <alignment horizontal="center"/>
    </xf>
    <xf numFmtId="0" fontId="1" fillId="14" borderId="5" xfId="5" applyFont="1" applyFill="1" applyBorder="1" applyAlignment="1">
      <alignment horizontal="center"/>
    </xf>
    <xf numFmtId="164" fontId="1" fillId="17" borderId="2" xfId="9" applyNumberFormat="1" applyFont="1" applyFill="1" applyBorder="1" applyAlignment="1">
      <alignment horizontal="center"/>
    </xf>
    <xf numFmtId="164" fontId="1" fillId="20" borderId="2" xfId="9" applyNumberFormat="1" applyFont="1" applyFill="1" applyBorder="1" applyAlignment="1">
      <alignment horizontal="center"/>
    </xf>
    <xf numFmtId="0" fontId="4" fillId="13" borderId="0" xfId="5" applyFont="1" applyFill="1" applyBorder="1" applyAlignment="1">
      <alignment horizontal="center"/>
    </xf>
    <xf numFmtId="0" fontId="1" fillId="16" borderId="3" xfId="5" applyFont="1" applyFill="1" applyBorder="1" applyAlignment="1">
      <alignment horizontal="center"/>
    </xf>
    <xf numFmtId="0" fontId="1" fillId="16" borderId="4" xfId="5" applyFont="1" applyFill="1" applyBorder="1" applyAlignment="1">
      <alignment horizontal="center"/>
    </xf>
    <xf numFmtId="0" fontId="1" fillId="16" borderId="5" xfId="5" applyFont="1" applyFill="1" applyBorder="1" applyAlignment="1">
      <alignment horizontal="center"/>
    </xf>
    <xf numFmtId="0" fontId="4" fillId="11" borderId="3" xfId="5" applyFont="1" applyFill="1" applyBorder="1" applyAlignment="1">
      <alignment horizontal="left" wrapText="1"/>
    </xf>
    <xf numFmtId="0" fontId="4" fillId="11" borderId="4" xfId="5" applyFont="1" applyFill="1" applyBorder="1" applyAlignment="1">
      <alignment horizontal="left" wrapText="1"/>
    </xf>
    <xf numFmtId="0" fontId="4" fillId="11" borderId="5" xfId="5" applyFont="1" applyFill="1" applyBorder="1" applyAlignment="1">
      <alignment horizontal="left" wrapText="1"/>
    </xf>
    <xf numFmtId="164" fontId="1" fillId="21" borderId="3" xfId="9" applyNumberFormat="1" applyFont="1" applyFill="1" applyBorder="1" applyAlignment="1">
      <alignment horizontal="center"/>
    </xf>
    <xf numFmtId="164" fontId="1" fillId="21" borderId="4" xfId="9" applyNumberFormat="1" applyFont="1" applyFill="1" applyBorder="1" applyAlignment="1">
      <alignment horizontal="center"/>
    </xf>
    <xf numFmtId="164" fontId="1" fillId="21" borderId="5" xfId="9" applyNumberFormat="1" applyFont="1" applyFill="1" applyBorder="1" applyAlignment="1">
      <alignment horizontal="center"/>
    </xf>
    <xf numFmtId="164" fontId="4" fillId="17" borderId="2" xfId="9" applyNumberFormat="1" applyFont="1" applyFill="1" applyBorder="1" applyAlignment="1">
      <alignment horizontal="center"/>
    </xf>
    <xf numFmtId="164" fontId="4" fillId="20" borderId="2" xfId="9" applyNumberFormat="1" applyFont="1" applyFill="1" applyBorder="1" applyAlignment="1">
      <alignment horizontal="center"/>
    </xf>
    <xf numFmtId="0" fontId="1" fillId="0" borderId="3" xfId="5" applyFont="1" applyFill="1" applyBorder="1" applyAlignment="1">
      <alignment horizontal="left"/>
    </xf>
    <xf numFmtId="0" fontId="1" fillId="0" borderId="4" xfId="5" applyFont="1" applyFill="1" applyBorder="1" applyAlignment="1">
      <alignment horizontal="left"/>
    </xf>
    <xf numFmtId="0" fontId="1" fillId="0" borderId="5" xfId="5" applyFont="1" applyFill="1" applyBorder="1" applyAlignment="1">
      <alignment horizontal="left"/>
    </xf>
    <xf numFmtId="0" fontId="1" fillId="16" borderId="2" xfId="5" applyFont="1" applyFill="1" applyBorder="1" applyAlignment="1">
      <alignment horizontal="center"/>
    </xf>
    <xf numFmtId="0" fontId="4" fillId="11" borderId="2" xfId="5" applyFont="1" applyFill="1" applyBorder="1" applyAlignment="1">
      <alignment horizontal="center"/>
    </xf>
    <xf numFmtId="0" fontId="1" fillId="14" borderId="2" xfId="5" applyFont="1" applyFill="1" applyBorder="1" applyAlignment="1">
      <alignment horizontal="center"/>
    </xf>
    <xf numFmtId="0" fontId="0" fillId="22" borderId="2" xfId="5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12" fillId="4" borderId="2" xfId="5" applyFont="1" applyFill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top"/>
    </xf>
    <xf numFmtId="2" fontId="0" fillId="0" borderId="5" xfId="0" applyNumberFormat="1" applyFont="1" applyBorder="1" applyAlignment="1">
      <alignment horizontal="center" vertical="top"/>
    </xf>
    <xf numFmtId="0" fontId="0" fillId="16" borderId="3" xfId="0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0" fontId="0" fillId="16" borderId="5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wrapText="1"/>
    </xf>
    <xf numFmtId="164" fontId="0" fillId="9" borderId="7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0" fillId="9" borderId="2" xfId="1" applyNumberFormat="1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5" fillId="8" borderId="3" xfId="0" applyFont="1" applyFill="1" applyBorder="1" applyAlignment="1">
      <alignment horizontal="center" vertical="top"/>
    </xf>
    <xf numFmtId="0" fontId="5" fillId="8" borderId="4" xfId="0" applyFont="1" applyFill="1" applyBorder="1" applyAlignment="1">
      <alignment horizontal="center" vertical="top"/>
    </xf>
    <xf numFmtId="0" fontId="5" fillId="8" borderId="5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4" fillId="11" borderId="2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11" borderId="3" xfId="0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2" fillId="8" borderId="3" xfId="0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 vertical="top"/>
    </xf>
    <xf numFmtId="0" fontId="30" fillId="26" borderId="0" xfId="0" applyFont="1" applyFill="1" applyBorder="1" applyAlignment="1">
      <alignment horizontal="left" vertical="top" wrapText="1"/>
    </xf>
    <xf numFmtId="164" fontId="14" fillId="9" borderId="7" xfId="1" applyNumberFormat="1" applyFont="1" applyFill="1" applyBorder="1" applyAlignment="1">
      <alignment horizontal="center"/>
    </xf>
    <xf numFmtId="164" fontId="14" fillId="9" borderId="3" xfId="1" applyNumberFormat="1" applyFont="1" applyFill="1" applyBorder="1" applyAlignment="1">
      <alignment horizontal="center"/>
    </xf>
    <xf numFmtId="164" fontId="14" fillId="9" borderId="4" xfId="1" applyNumberFormat="1" applyFont="1" applyFill="1" applyBorder="1" applyAlignment="1">
      <alignment horizontal="center"/>
    </xf>
    <xf numFmtId="164" fontId="14" fillId="9" borderId="5" xfId="1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64" fontId="0" fillId="0" borderId="2" xfId="8" applyNumberFormat="1" applyFont="1" applyBorder="1" applyAlignment="1">
      <alignment horizontal="center"/>
    </xf>
    <xf numFmtId="164" fontId="4" fillId="10" borderId="2" xfId="8" applyNumberFormat="1" applyFont="1" applyFill="1" applyBorder="1" applyAlignment="1">
      <alignment horizontal="center"/>
    </xf>
    <xf numFmtId="164" fontId="0" fillId="0" borderId="3" xfId="8" applyNumberFormat="1" applyFont="1" applyBorder="1" applyAlignment="1">
      <alignment horizontal="center"/>
    </xf>
    <xf numFmtId="164" fontId="0" fillId="0" borderId="4" xfId="8" applyNumberFormat="1" applyFont="1" applyBorder="1" applyAlignment="1">
      <alignment horizontal="center"/>
    </xf>
    <xf numFmtId="164" fontId="0" fillId="0" borderId="5" xfId="8" applyNumberFormat="1" applyFont="1" applyBorder="1" applyAlignment="1">
      <alignment horizontal="center"/>
    </xf>
    <xf numFmtId="164" fontId="4" fillId="0" borderId="3" xfId="8" applyNumberFormat="1" applyFont="1" applyBorder="1" applyAlignment="1">
      <alignment horizontal="center"/>
    </xf>
    <xf numFmtId="164" fontId="4" fillId="0" borderId="4" xfId="8" applyNumberFormat="1" applyFont="1" applyBorder="1" applyAlignment="1">
      <alignment horizontal="center"/>
    </xf>
    <xf numFmtId="164" fontId="4" fillId="0" borderId="5" xfId="8" applyNumberFormat="1" applyFont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16" fillId="0" borderId="3" xfId="7" applyFont="1" applyBorder="1" applyAlignment="1">
      <alignment horizontal="center"/>
    </xf>
    <xf numFmtId="0" fontId="16" fillId="0" borderId="4" xfId="7" applyFont="1" applyBorder="1" applyAlignment="1">
      <alignment horizontal="center"/>
    </xf>
    <xf numFmtId="0" fontId="16" fillId="0" borderId="5" xfId="7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11" borderId="3" xfId="0" applyFont="1" applyFill="1" applyBorder="1" applyAlignment="1">
      <alignment horizontal="left" vertical="top" wrapText="1"/>
    </xf>
    <xf numFmtId="0" fontId="4" fillId="11" borderId="4" xfId="0" applyFont="1" applyFill="1" applyBorder="1" applyAlignment="1">
      <alignment horizontal="left" vertical="top" wrapText="1"/>
    </xf>
    <xf numFmtId="0" fontId="4" fillId="11" borderId="5" xfId="0" applyFont="1" applyFill="1" applyBorder="1" applyAlignment="1">
      <alignment horizontal="left" vertical="top" wrapText="1"/>
    </xf>
    <xf numFmtId="164" fontId="4" fillId="11" borderId="3" xfId="8" applyNumberFormat="1" applyFont="1" applyFill="1" applyBorder="1" applyAlignment="1">
      <alignment horizontal="center"/>
    </xf>
    <xf numFmtId="164" fontId="4" fillId="11" borderId="4" xfId="8" applyNumberFormat="1" applyFont="1" applyFill="1" applyBorder="1" applyAlignment="1">
      <alignment horizontal="center"/>
    </xf>
    <xf numFmtId="164" fontId="4" fillId="11" borderId="5" xfId="8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left" vertical="top" wrapText="1"/>
    </xf>
    <xf numFmtId="0" fontId="0" fillId="11" borderId="4" xfId="0" applyFont="1" applyFill="1" applyBorder="1" applyAlignment="1">
      <alignment horizontal="left" vertical="top" wrapText="1"/>
    </xf>
    <xf numFmtId="0" fontId="0" fillId="11" borderId="5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164" fontId="21" fillId="0" borderId="1" xfId="8" applyNumberFormat="1" applyFont="1" applyBorder="1" applyAlignment="1">
      <alignment horizontal="center"/>
    </xf>
    <xf numFmtId="49" fontId="27" fillId="0" borderId="0" xfId="8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</cellXfs>
  <cellStyles count="43">
    <cellStyle name="Comma" xfId="1" builtinId="3"/>
    <cellStyle name="Comma 2" xfId="2"/>
    <cellStyle name="Comma 3" xfId="3"/>
    <cellStyle name="Comma 3 2" xfId="4"/>
    <cellStyle name="Comma 4" xfId="8"/>
    <cellStyle name="Comma 5" xfId="9"/>
    <cellStyle name="Currency 2" xfId="1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5"/>
    <cellStyle name="Normal 2 2" xfId="6"/>
    <cellStyle name="Normal 2 3" xfId="13"/>
    <cellStyle name="Normal 3" xfId="7"/>
    <cellStyle name="Normal 3 2" xfId="10"/>
    <cellStyle name="Normal 4" xfId="12"/>
    <cellStyle name="Percent" xfId="4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zoomScale="110" zoomScaleNormal="110" zoomScalePageLayoutView="110" workbookViewId="0">
      <selection activeCell="G9" sqref="G9"/>
    </sheetView>
  </sheetViews>
  <sheetFormatPr defaultColWidth="8.88671875" defaultRowHeight="14.4" x14ac:dyDescent="0.3"/>
  <cols>
    <col min="2" max="2" width="18.44140625" bestFit="1" customWidth="1"/>
    <col min="3" max="5" width="16.33203125" bestFit="1" customWidth="1"/>
  </cols>
  <sheetData>
    <row r="3" spans="2:6" x14ac:dyDescent="0.3">
      <c r="B3" s="514" t="s">
        <v>480</v>
      </c>
      <c r="C3" s="514" t="s">
        <v>481</v>
      </c>
      <c r="D3" s="514" t="s">
        <v>482</v>
      </c>
      <c r="E3" s="514" t="s">
        <v>483</v>
      </c>
      <c r="F3" s="514" t="s">
        <v>9</v>
      </c>
    </row>
    <row r="4" spans="2:6" x14ac:dyDescent="0.3">
      <c r="B4" s="20" t="s">
        <v>461</v>
      </c>
      <c r="C4" s="515">
        <f>'UNDP '!H43</f>
        <v>5.6656259630444437</v>
      </c>
      <c r="D4" s="515">
        <f>'UNDP '!I43</f>
        <v>18.547376655352934</v>
      </c>
      <c r="E4" s="515">
        <f>'UNDP '!J43</f>
        <v>15.785473983520042</v>
      </c>
      <c r="F4" s="515">
        <f>C4+D4+E4</f>
        <v>39.998476601917417</v>
      </c>
    </row>
    <row r="5" spans="2:6" x14ac:dyDescent="0.3">
      <c r="B5" s="20" t="s">
        <v>464</v>
      </c>
      <c r="C5" s="515">
        <f>UNICEF!H40</f>
        <v>13.976350153854764</v>
      </c>
      <c r="D5" s="515">
        <f>UNICEF!I40</f>
        <v>13.630529706277272</v>
      </c>
      <c r="E5" s="515">
        <f>UNICEF!J40</f>
        <v>12.393717028756853</v>
      </c>
      <c r="F5" s="515">
        <f>UNICEF!K40</f>
        <v>40.000596888888886</v>
      </c>
    </row>
    <row r="6" spans="2:6" x14ac:dyDescent="0.3">
      <c r="B6" s="20" t="s">
        <v>458</v>
      </c>
      <c r="C6" s="515">
        <f>WHO!H40</f>
        <v>7.6444825894814814</v>
      </c>
      <c r="D6" s="515">
        <f>WHO!I40</f>
        <v>8.9161194940296298</v>
      </c>
      <c r="E6" s="515">
        <f>WHO!J40</f>
        <v>10.43867688220889</v>
      </c>
      <c r="F6" s="515">
        <f>C6+D6+E6</f>
        <v>26.999278965720002</v>
      </c>
    </row>
    <row r="7" spans="2:6" x14ac:dyDescent="0.3">
      <c r="B7" s="549" t="s">
        <v>9</v>
      </c>
      <c r="C7" s="550">
        <f>SUM(C4:C6)</f>
        <v>27.286458706380689</v>
      </c>
      <c r="D7" s="550">
        <f t="shared" ref="D7:F7" si="0">SUM(D4:D6)</f>
        <v>41.094025855659837</v>
      </c>
      <c r="E7" s="550">
        <f t="shared" si="0"/>
        <v>38.617867894485784</v>
      </c>
      <c r="F7" s="550">
        <f t="shared" si="0"/>
        <v>106.99835245652631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C1:S19"/>
  <sheetViews>
    <sheetView zoomScale="80" zoomScaleNormal="80" zoomScalePageLayoutView="80" workbookViewId="0">
      <selection activeCell="D19" sqref="D19"/>
    </sheetView>
  </sheetViews>
  <sheetFormatPr defaultColWidth="8.88671875" defaultRowHeight="14.4" x14ac:dyDescent="0.3"/>
  <cols>
    <col min="1" max="2" width="8.88671875" style="216"/>
    <col min="3" max="3" width="6.88671875" style="216" customWidth="1"/>
    <col min="4" max="4" width="47.88671875" style="216" customWidth="1"/>
    <col min="5" max="5" width="9.6640625" style="216" customWidth="1"/>
    <col min="6" max="6" width="10.6640625" style="216" bestFit="1" customWidth="1"/>
    <col min="7" max="7" width="13.33203125" style="216" customWidth="1"/>
    <col min="8" max="8" width="11.33203125" style="216" customWidth="1"/>
    <col min="9" max="9" width="12.33203125" style="216" customWidth="1"/>
    <col min="10" max="10" width="12.33203125" style="216" bestFit="1" customWidth="1"/>
    <col min="11" max="11" width="11.109375" style="216" customWidth="1"/>
    <col min="12" max="12" width="1.44140625" style="216" customWidth="1"/>
    <col min="13" max="13" width="12" style="216" customWidth="1"/>
    <col min="14" max="14" width="10.88671875" style="216" customWidth="1"/>
    <col min="15" max="15" width="11" style="216" customWidth="1"/>
    <col min="16" max="16" width="12.6640625" style="216" customWidth="1"/>
    <col min="17" max="16384" width="8.88671875" style="216"/>
  </cols>
  <sheetData>
    <row r="1" spans="3:19" x14ac:dyDescent="0.3">
      <c r="D1" s="225" t="s">
        <v>532</v>
      </c>
    </row>
    <row r="2" spans="3:19" x14ac:dyDescent="0.3">
      <c r="C2" s="269"/>
      <c r="D2" s="269" t="s">
        <v>49</v>
      </c>
      <c r="E2" s="269" t="s">
        <v>80</v>
      </c>
      <c r="F2" s="269" t="s">
        <v>50</v>
      </c>
      <c r="G2" s="269" t="s">
        <v>51</v>
      </c>
      <c r="H2" s="269" t="s">
        <v>52</v>
      </c>
      <c r="I2" s="269" t="s">
        <v>53</v>
      </c>
      <c r="J2" s="269" t="s">
        <v>54</v>
      </c>
      <c r="K2" s="269" t="s">
        <v>55</v>
      </c>
      <c r="L2" s="584"/>
      <c r="M2" s="361" t="s">
        <v>26</v>
      </c>
      <c r="N2" s="361" t="s">
        <v>27</v>
      </c>
      <c r="O2" s="361" t="s">
        <v>28</v>
      </c>
      <c r="P2" s="361" t="s">
        <v>9</v>
      </c>
      <c r="Q2" s="322"/>
      <c r="R2" s="322"/>
      <c r="S2" s="322"/>
    </row>
    <row r="3" spans="3:19" x14ac:dyDescent="0.3">
      <c r="C3" s="253">
        <v>1</v>
      </c>
      <c r="D3" s="528" t="s">
        <v>504</v>
      </c>
      <c r="E3" s="253"/>
      <c r="F3" s="274"/>
      <c r="G3" s="274"/>
      <c r="H3" s="274"/>
      <c r="I3" s="308"/>
      <c r="J3" s="274"/>
      <c r="K3" s="274"/>
      <c r="L3" s="585"/>
      <c r="M3" s="288">
        <f>K3</f>
        <v>0</v>
      </c>
      <c r="N3" s="288"/>
      <c r="O3" s="288"/>
      <c r="P3" s="288"/>
      <c r="Q3" s="322"/>
      <c r="R3" s="322"/>
      <c r="S3" s="322"/>
    </row>
    <row r="4" spans="3:19" x14ac:dyDescent="0.3">
      <c r="C4" s="253"/>
      <c r="D4" s="253" t="s">
        <v>441</v>
      </c>
      <c r="E4" s="253">
        <v>2</v>
      </c>
      <c r="F4" s="274">
        <v>152850</v>
      </c>
      <c r="G4" s="274">
        <v>1</v>
      </c>
      <c r="H4" s="274">
        <v>12</v>
      </c>
      <c r="I4" s="308">
        <v>1</v>
      </c>
      <c r="J4" s="274">
        <f>E4*F4*G4*H4*I4</f>
        <v>3668400</v>
      </c>
      <c r="K4" s="274">
        <f>J4/55</f>
        <v>66698.181818181823</v>
      </c>
      <c r="L4" s="585"/>
      <c r="M4" s="288">
        <f>K4</f>
        <v>66698.181818181823</v>
      </c>
      <c r="N4" s="288">
        <f>(M4*10%)+M4</f>
        <v>73368</v>
      </c>
      <c r="O4" s="288">
        <f>(N4*10%)+N4</f>
        <v>80704.800000000003</v>
      </c>
      <c r="P4" s="288">
        <f>SUM(M4:O4)</f>
        <v>220770.98181818181</v>
      </c>
      <c r="Q4" s="322"/>
      <c r="R4" s="322"/>
      <c r="S4" s="322"/>
    </row>
    <row r="5" spans="3:19" x14ac:dyDescent="0.3">
      <c r="C5" s="253"/>
      <c r="D5" s="253" t="s">
        <v>446</v>
      </c>
      <c r="E5" s="253">
        <v>1</v>
      </c>
      <c r="F5" s="274">
        <v>93354</v>
      </c>
      <c r="G5" s="274">
        <v>1</v>
      </c>
      <c r="H5" s="274">
        <v>12</v>
      </c>
      <c r="I5" s="308">
        <v>1</v>
      </c>
      <c r="J5" s="274">
        <f>F5*G5*H5*I5</f>
        <v>1120248</v>
      </c>
      <c r="K5" s="274">
        <f>J5/55</f>
        <v>20368.145454545454</v>
      </c>
      <c r="L5" s="585"/>
      <c r="M5" s="288">
        <f>K5</f>
        <v>20368.145454545454</v>
      </c>
      <c r="N5" s="288">
        <f>(M5*10%)+M5</f>
        <v>22404.959999999999</v>
      </c>
      <c r="O5" s="288">
        <f>(N5*10%)+N5</f>
        <v>24645.455999999998</v>
      </c>
      <c r="P5" s="288">
        <f>SUM(M5:O5)</f>
        <v>67418.561454545445</v>
      </c>
      <c r="Q5" s="322"/>
      <c r="R5" s="322"/>
      <c r="S5" s="322"/>
    </row>
    <row r="6" spans="3:19" x14ac:dyDescent="0.3">
      <c r="C6" s="253"/>
      <c r="D6" s="277" t="s">
        <v>56</v>
      </c>
      <c r="E6" s="277"/>
      <c r="F6" s="286"/>
      <c r="G6" s="286"/>
      <c r="H6" s="286"/>
      <c r="I6" s="446"/>
      <c r="J6" s="286">
        <f>J4+J5</f>
        <v>4788648</v>
      </c>
      <c r="K6" s="286">
        <f>J6/55</f>
        <v>87066.327272727271</v>
      </c>
      <c r="L6" s="585"/>
      <c r="M6" s="447">
        <f>M4+M5</f>
        <v>87066.327272727271</v>
      </c>
      <c r="N6" s="447">
        <f>N4+N5</f>
        <v>95772.959999999992</v>
      </c>
      <c r="O6" s="447">
        <f>O4+O5</f>
        <v>105350.25599999999</v>
      </c>
      <c r="P6" s="447">
        <f>P4+P5</f>
        <v>288189.54327272729</v>
      </c>
      <c r="Q6" s="322"/>
      <c r="R6" s="322"/>
      <c r="S6" s="322"/>
    </row>
    <row r="7" spans="3:19" x14ac:dyDescent="0.3">
      <c r="C7" s="253">
        <v>2</v>
      </c>
      <c r="D7" s="253" t="s">
        <v>447</v>
      </c>
      <c r="E7" s="253"/>
      <c r="F7" s="274"/>
      <c r="G7" s="274"/>
      <c r="H7" s="274"/>
      <c r="I7" s="308"/>
      <c r="J7" s="274"/>
      <c r="K7" s="274"/>
      <c r="L7" s="585"/>
      <c r="M7" s="288">
        <f>K7</f>
        <v>0</v>
      </c>
      <c r="N7" s="288"/>
      <c r="O7" s="288"/>
      <c r="P7" s="288"/>
      <c r="Q7" s="322"/>
      <c r="R7" s="322"/>
      <c r="S7" s="322"/>
    </row>
    <row r="8" spans="3:19" x14ac:dyDescent="0.3">
      <c r="C8" s="253"/>
      <c r="D8" s="253" t="s">
        <v>448</v>
      </c>
      <c r="E8" s="253">
        <v>1</v>
      </c>
      <c r="F8" s="274">
        <v>60000</v>
      </c>
      <c r="G8" s="274">
        <v>3</v>
      </c>
      <c r="H8" s="274">
        <v>1</v>
      </c>
      <c r="I8" s="308">
        <v>1</v>
      </c>
      <c r="J8" s="274">
        <f t="shared" ref="J8:J10" si="0">F8*G8*H8*I8</f>
        <v>180000</v>
      </c>
      <c r="K8" s="274">
        <f t="shared" ref="K8:K16" si="1">J8/55</f>
        <v>3272.7272727272725</v>
      </c>
      <c r="L8" s="585"/>
      <c r="M8" s="288">
        <f>K8</f>
        <v>3272.7272727272725</v>
      </c>
      <c r="N8" s="288">
        <v>0</v>
      </c>
      <c r="O8" s="288">
        <v>0</v>
      </c>
      <c r="P8" s="288">
        <f>SUM(M8:O8)</f>
        <v>3272.7272727272725</v>
      </c>
      <c r="Q8" s="322"/>
      <c r="R8" s="322"/>
      <c r="S8" s="322"/>
    </row>
    <row r="9" spans="3:19" x14ac:dyDescent="0.3">
      <c r="C9" s="253"/>
      <c r="D9" s="253" t="s">
        <v>449</v>
      </c>
      <c r="E9" s="253">
        <v>1</v>
      </c>
      <c r="F9" s="274">
        <v>50000</v>
      </c>
      <c r="G9" s="274">
        <v>1</v>
      </c>
      <c r="H9" s="274">
        <v>1</v>
      </c>
      <c r="I9" s="308">
        <v>1</v>
      </c>
      <c r="J9" s="274">
        <f t="shared" si="0"/>
        <v>50000</v>
      </c>
      <c r="K9" s="274">
        <f t="shared" si="1"/>
        <v>909.09090909090912</v>
      </c>
      <c r="L9" s="585"/>
      <c r="M9" s="288">
        <f>K9</f>
        <v>909.09090909090912</v>
      </c>
      <c r="N9" s="288">
        <v>0</v>
      </c>
      <c r="O9" s="288">
        <v>0</v>
      </c>
      <c r="P9" s="288">
        <f t="shared" ref="P9:P10" si="2">SUM(M9:O9)</f>
        <v>909.09090909090912</v>
      </c>
      <c r="Q9" s="322"/>
      <c r="R9" s="322"/>
      <c r="S9" s="322"/>
    </row>
    <row r="10" spans="3:19" x14ac:dyDescent="0.3">
      <c r="C10" s="253"/>
      <c r="D10" s="253" t="s">
        <v>443</v>
      </c>
      <c r="E10" s="253">
        <v>1</v>
      </c>
      <c r="F10" s="274">
        <f>(F8*5%)*6+(5000*4)</f>
        <v>38000</v>
      </c>
      <c r="G10" s="274">
        <v>1</v>
      </c>
      <c r="H10" s="274">
        <v>12</v>
      </c>
      <c r="I10" s="308">
        <v>1</v>
      </c>
      <c r="J10" s="274">
        <f t="shared" si="0"/>
        <v>456000</v>
      </c>
      <c r="K10" s="274">
        <f t="shared" si="1"/>
        <v>8290.9090909090901</v>
      </c>
      <c r="L10" s="585"/>
      <c r="M10" s="288">
        <f>K10</f>
        <v>8290.9090909090901</v>
      </c>
      <c r="N10" s="288">
        <f>M10</f>
        <v>8290.9090909090901</v>
      </c>
      <c r="O10" s="288">
        <f>N10</f>
        <v>8290.9090909090901</v>
      </c>
      <c r="P10" s="288">
        <f t="shared" si="2"/>
        <v>24872.727272727272</v>
      </c>
      <c r="Q10" s="322"/>
      <c r="R10" s="322"/>
      <c r="S10" s="322"/>
    </row>
    <row r="11" spans="3:19" x14ac:dyDescent="0.3">
      <c r="C11" s="253"/>
      <c r="D11" s="277" t="s">
        <v>56</v>
      </c>
      <c r="E11" s="277"/>
      <c r="F11" s="286"/>
      <c r="G11" s="286"/>
      <c r="H11" s="286"/>
      <c r="I11" s="446"/>
      <c r="J11" s="286">
        <f>J8+J9+J10</f>
        <v>686000</v>
      </c>
      <c r="K11" s="286">
        <f t="shared" si="1"/>
        <v>12472.727272727272</v>
      </c>
      <c r="L11" s="585"/>
      <c r="M11" s="447">
        <f>M8+M9+M10</f>
        <v>12472.727272727272</v>
      </c>
      <c r="N11" s="447">
        <f>N8+N9+N10</f>
        <v>8290.9090909090901</v>
      </c>
      <c r="O11" s="447">
        <f>O8+O9+O10</f>
        <v>8290.9090909090901</v>
      </c>
      <c r="P11" s="447">
        <f>P8+P9+P10</f>
        <v>29054.545454545456</v>
      </c>
      <c r="Q11" s="322"/>
      <c r="R11" s="322"/>
      <c r="S11" s="322"/>
    </row>
    <row r="12" spans="3:19" x14ac:dyDescent="0.3">
      <c r="C12" s="253">
        <v>3</v>
      </c>
      <c r="D12" s="253" t="s">
        <v>450</v>
      </c>
      <c r="E12" s="253"/>
      <c r="F12" s="274"/>
      <c r="G12" s="274"/>
      <c r="H12" s="274"/>
      <c r="I12" s="308"/>
      <c r="J12" s="274"/>
      <c r="K12" s="274"/>
      <c r="L12" s="585"/>
      <c r="M12" s="288">
        <f>K12</f>
        <v>0</v>
      </c>
      <c r="N12" s="288"/>
      <c r="O12" s="288"/>
      <c r="P12" s="288"/>
      <c r="Q12" s="322"/>
      <c r="R12" s="322"/>
      <c r="S12" s="322"/>
    </row>
    <row r="13" spans="3:19" x14ac:dyDescent="0.3">
      <c r="C13" s="253"/>
      <c r="D13" s="253" t="s">
        <v>94</v>
      </c>
      <c r="E13" s="253">
        <v>2</v>
      </c>
      <c r="F13" s="274">
        <v>20000</v>
      </c>
      <c r="G13" s="274">
        <v>4</v>
      </c>
      <c r="H13" s="274">
        <v>1</v>
      </c>
      <c r="I13" s="308">
        <v>1</v>
      </c>
      <c r="J13" s="274">
        <f>E13*F13*G13*H13*I13</f>
        <v>160000</v>
      </c>
      <c r="K13" s="274">
        <f t="shared" si="1"/>
        <v>2909.090909090909</v>
      </c>
      <c r="L13" s="585"/>
      <c r="M13" s="288">
        <f>K13</f>
        <v>2909.090909090909</v>
      </c>
      <c r="N13" s="288">
        <f t="shared" ref="N13:O15" si="3">M13</f>
        <v>2909.090909090909</v>
      </c>
      <c r="O13" s="288">
        <f t="shared" si="3"/>
        <v>2909.090909090909</v>
      </c>
      <c r="P13" s="288">
        <f>SUM(M13:O13)</f>
        <v>8727.2727272727279</v>
      </c>
      <c r="Q13" s="322"/>
      <c r="R13" s="322"/>
      <c r="S13" s="322"/>
    </row>
    <row r="14" spans="3:19" x14ac:dyDescent="0.3">
      <c r="C14" s="253"/>
      <c r="D14" s="253" t="s">
        <v>451</v>
      </c>
      <c r="E14" s="253">
        <v>2</v>
      </c>
      <c r="F14" s="274">
        <v>11000</v>
      </c>
      <c r="G14" s="274">
        <f>G13*3</f>
        <v>12</v>
      </c>
      <c r="H14" s="274">
        <v>1</v>
      </c>
      <c r="I14" s="308">
        <v>1</v>
      </c>
      <c r="J14" s="274">
        <f>E14*F14*G14*H14*I14</f>
        <v>264000</v>
      </c>
      <c r="K14" s="274">
        <f t="shared" si="1"/>
        <v>4800</v>
      </c>
      <c r="L14" s="585"/>
      <c r="M14" s="288">
        <f>K14</f>
        <v>4800</v>
      </c>
      <c r="N14" s="288">
        <f t="shared" si="3"/>
        <v>4800</v>
      </c>
      <c r="O14" s="288">
        <f t="shared" si="3"/>
        <v>4800</v>
      </c>
      <c r="P14" s="288">
        <f>SUM(M14:O14)</f>
        <v>14400</v>
      </c>
      <c r="Q14" s="322"/>
      <c r="R14" s="322"/>
      <c r="S14" s="322"/>
    </row>
    <row r="15" spans="3:19" x14ac:dyDescent="0.3">
      <c r="C15" s="253"/>
      <c r="D15" s="253" t="s">
        <v>452</v>
      </c>
      <c r="E15" s="253">
        <v>1</v>
      </c>
      <c r="F15" s="274">
        <v>12000</v>
      </c>
      <c r="G15" s="274">
        <v>1</v>
      </c>
      <c r="H15" s="274">
        <v>8</v>
      </c>
      <c r="I15" s="308">
        <v>1</v>
      </c>
      <c r="J15" s="274">
        <f>E15*F15*G15*H15*I15</f>
        <v>96000</v>
      </c>
      <c r="K15" s="274">
        <f t="shared" si="1"/>
        <v>1745.4545454545455</v>
      </c>
      <c r="L15" s="585"/>
      <c r="M15" s="288">
        <f>K15</f>
        <v>1745.4545454545455</v>
      </c>
      <c r="N15" s="288">
        <f t="shared" si="3"/>
        <v>1745.4545454545455</v>
      </c>
      <c r="O15" s="288">
        <f t="shared" si="3"/>
        <v>1745.4545454545455</v>
      </c>
      <c r="P15" s="288">
        <f>SUM(M15:O15)</f>
        <v>5236.363636363636</v>
      </c>
      <c r="Q15" s="322"/>
      <c r="R15" s="322"/>
      <c r="S15" s="322"/>
    </row>
    <row r="16" spans="3:19" x14ac:dyDescent="0.3">
      <c r="C16" s="253"/>
      <c r="D16" s="277" t="s">
        <v>56</v>
      </c>
      <c r="E16" s="277"/>
      <c r="F16" s="286"/>
      <c r="G16" s="286"/>
      <c r="H16" s="286"/>
      <c r="I16" s="446"/>
      <c r="J16" s="286">
        <f>J13+J14</f>
        <v>424000</v>
      </c>
      <c r="K16" s="286">
        <f t="shared" si="1"/>
        <v>7709.090909090909</v>
      </c>
      <c r="L16" s="585"/>
      <c r="M16" s="447">
        <f>M13+M14+M15</f>
        <v>9454.545454545454</v>
      </c>
      <c r="N16" s="447">
        <f t="shared" ref="N16:P16" si="4">N13+N14+N15</f>
        <v>9454.545454545454</v>
      </c>
      <c r="O16" s="447">
        <f t="shared" si="4"/>
        <v>9454.545454545454</v>
      </c>
      <c r="P16" s="447">
        <f t="shared" si="4"/>
        <v>28363.636363636364</v>
      </c>
      <c r="Q16" s="322"/>
      <c r="R16" s="322"/>
      <c r="S16" s="322"/>
    </row>
    <row r="17" spans="3:19" s="300" customFormat="1" x14ac:dyDescent="0.3">
      <c r="C17" s="333"/>
      <c r="D17" s="333" t="s">
        <v>9</v>
      </c>
      <c r="E17" s="333"/>
      <c r="F17" s="442"/>
      <c r="G17" s="442"/>
      <c r="H17" s="442"/>
      <c r="I17" s="448"/>
      <c r="J17" s="442"/>
      <c r="K17" s="442"/>
      <c r="L17" s="585"/>
      <c r="M17" s="449">
        <f>M6+M11+M16</f>
        <v>108993.59999999999</v>
      </c>
      <c r="N17" s="449">
        <f t="shared" ref="N17:P17" si="5">N6+N11+N16</f>
        <v>113518.41454545454</v>
      </c>
      <c r="O17" s="449">
        <f t="shared" si="5"/>
        <v>123095.71054545454</v>
      </c>
      <c r="P17" s="449">
        <f t="shared" si="5"/>
        <v>345607.72509090911</v>
      </c>
      <c r="Q17" s="349"/>
      <c r="R17" s="349"/>
      <c r="S17" s="349"/>
    </row>
    <row r="18" spans="3:19" x14ac:dyDescent="0.3">
      <c r="L18" s="438"/>
    </row>
    <row r="19" spans="3:19" x14ac:dyDescent="0.3">
      <c r="L19" s="43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44"/>
  <sheetViews>
    <sheetView zoomScale="80" zoomScaleNormal="80" workbookViewId="0"/>
  </sheetViews>
  <sheetFormatPr defaultColWidth="12.5546875" defaultRowHeight="14.4" x14ac:dyDescent="0.3"/>
  <cols>
    <col min="1" max="1" width="2.5546875" style="1" customWidth="1"/>
    <col min="2" max="2" width="7.44140625" style="1" customWidth="1"/>
    <col min="3" max="3" width="71.109375" style="40" customWidth="1"/>
    <col min="4" max="7" width="10.6640625" style="41" customWidth="1"/>
    <col min="8" max="11" width="9.109375" style="1" customWidth="1"/>
    <col min="12" max="16384" width="12.5546875" style="1"/>
  </cols>
  <sheetData>
    <row r="1" spans="2:11" x14ac:dyDescent="0.3">
      <c r="B1" s="39"/>
    </row>
    <row r="2" spans="2:11" x14ac:dyDescent="0.3">
      <c r="B2" s="39"/>
    </row>
    <row r="3" spans="2:11" x14ac:dyDescent="0.3">
      <c r="B3" s="39"/>
      <c r="C3" s="42" t="s">
        <v>138</v>
      </c>
    </row>
    <row r="4" spans="2:11" x14ac:dyDescent="0.3">
      <c r="B4" s="39"/>
      <c r="C4" s="42" t="s">
        <v>1</v>
      </c>
    </row>
    <row r="5" spans="2:11" x14ac:dyDescent="0.3">
      <c r="B5" s="39"/>
      <c r="C5" s="42" t="s">
        <v>2</v>
      </c>
    </row>
    <row r="6" spans="2:11" x14ac:dyDescent="0.3">
      <c r="B6" s="39"/>
      <c r="C6" s="42"/>
    </row>
    <row r="7" spans="2:11" x14ac:dyDescent="0.3">
      <c r="B7" s="39"/>
      <c r="C7" s="43"/>
      <c r="D7" s="764" t="s">
        <v>26</v>
      </c>
      <c r="E7" s="764"/>
      <c r="F7" s="764"/>
      <c r="G7" s="764"/>
      <c r="H7" s="765"/>
      <c r="I7" s="765"/>
      <c r="J7" s="765"/>
      <c r="K7" s="765"/>
    </row>
    <row r="8" spans="2:11" x14ac:dyDescent="0.3">
      <c r="B8" s="44"/>
      <c r="C8" s="45"/>
      <c r="D8" s="766" t="s">
        <v>453</v>
      </c>
      <c r="E8" s="766"/>
      <c r="F8" s="766"/>
      <c r="G8" s="766"/>
      <c r="H8" s="767" t="s">
        <v>3</v>
      </c>
      <c r="I8" s="767"/>
      <c r="J8" s="767"/>
      <c r="K8" s="768"/>
    </row>
    <row r="9" spans="2:11" x14ac:dyDescent="0.3">
      <c r="B9" s="44" t="s">
        <v>4</v>
      </c>
      <c r="C9" s="46" t="s">
        <v>5</v>
      </c>
      <c r="D9" s="397" t="s">
        <v>454</v>
      </c>
      <c r="E9" s="397" t="s">
        <v>455</v>
      </c>
      <c r="F9" s="397" t="s">
        <v>456</v>
      </c>
      <c r="G9" s="397" t="s">
        <v>457</v>
      </c>
      <c r="H9" s="605" t="s">
        <v>6</v>
      </c>
      <c r="I9" s="47" t="s">
        <v>7</v>
      </c>
      <c r="J9" s="47" t="s">
        <v>8</v>
      </c>
      <c r="K9" s="47" t="s">
        <v>9</v>
      </c>
    </row>
    <row r="10" spans="2:11" s="2" customFormat="1" ht="15.75" customHeight="1" x14ac:dyDescent="0.3">
      <c r="B10" s="48">
        <v>1.2</v>
      </c>
      <c r="C10" s="49" t="str">
        <f>'1.2'!C2</f>
        <v>Improve Human Resources to improve cold chain performance</v>
      </c>
      <c r="D10" s="59"/>
      <c r="E10" s="59"/>
      <c r="F10" s="59"/>
      <c r="G10" s="59"/>
      <c r="H10" s="613"/>
      <c r="I10" s="614"/>
      <c r="J10" s="614"/>
      <c r="K10" s="614"/>
    </row>
    <row r="11" spans="2:11" ht="15.75" customHeight="1" x14ac:dyDescent="0.3">
      <c r="B11" s="51"/>
      <c r="C11" s="52" t="str">
        <f>'1.2'!C3</f>
        <v>Establish the NCCVMRC at NIHFW, Delhi and NCCTC at Pune</v>
      </c>
      <c r="D11" s="393">
        <f>'1.2'!L70/1000000</f>
        <v>7.2222222222222215E-2</v>
      </c>
      <c r="E11" s="393">
        <f>'1.2'!M70/1000000</f>
        <v>7.2222222222222215E-2</v>
      </c>
      <c r="F11" s="393">
        <f>'1.2'!N70/1000000</f>
        <v>7.2222222222222215E-2</v>
      </c>
      <c r="G11" s="393">
        <f>'1.2'!O70/1000000</f>
        <v>0.1305462962962963</v>
      </c>
      <c r="H11" s="605">
        <f>'1.2'!D3/1000000</f>
        <v>0.34721296296296295</v>
      </c>
      <c r="I11" s="47">
        <f>'1.2'!E3/1000000</f>
        <v>0.37610185185185191</v>
      </c>
      <c r="J11" s="47">
        <f>'1.2'!F3/1000000</f>
        <v>0.40787962962962965</v>
      </c>
      <c r="K11" s="47">
        <f>'1.2'!G3/1000000</f>
        <v>1.1311944444444444</v>
      </c>
    </row>
    <row r="12" spans="2:11" x14ac:dyDescent="0.3">
      <c r="B12" s="51"/>
      <c r="C12" s="52" t="str">
        <f>'1.2'!C4</f>
        <v>Train and Equip the UIP staff</v>
      </c>
      <c r="D12" s="393">
        <f>'1.2'!L71/1000000</f>
        <v>0</v>
      </c>
      <c r="E12" s="393">
        <f>'1.2'!M71/1000000</f>
        <v>0</v>
      </c>
      <c r="F12" s="393">
        <f>'1.2'!N71/1000000</f>
        <v>0</v>
      </c>
      <c r="G12" s="393">
        <f>'1.2'!O71/1000000</f>
        <v>0.18085185185185185</v>
      </c>
      <c r="H12" s="605">
        <f>'1.2'!D4/1000000</f>
        <v>0.18085185185185185</v>
      </c>
      <c r="I12" s="47">
        <f>'1.2'!E4/1000000</f>
        <v>1.2531111111111111</v>
      </c>
      <c r="J12" s="47">
        <f>'1.2'!F4/1000000</f>
        <v>0</v>
      </c>
      <c r="K12" s="47">
        <f>'1.2'!G4/1000000</f>
        <v>1.4339629629629629</v>
      </c>
    </row>
    <row r="13" spans="2:11" x14ac:dyDescent="0.3">
      <c r="B13" s="51"/>
      <c r="C13" s="53" t="s">
        <v>10</v>
      </c>
      <c r="D13" s="394">
        <f>D11+D12</f>
        <v>7.2222222222222215E-2</v>
      </c>
      <c r="E13" s="394">
        <f t="shared" ref="E13:G13" si="0">E11+E12</f>
        <v>7.2222222222222215E-2</v>
      </c>
      <c r="F13" s="394">
        <f t="shared" si="0"/>
        <v>7.2222222222222215E-2</v>
      </c>
      <c r="G13" s="394">
        <f t="shared" si="0"/>
        <v>0.31139814814814815</v>
      </c>
      <c r="H13" s="389">
        <f>H11+H12</f>
        <v>0.52806481481481482</v>
      </c>
      <c r="I13" s="54">
        <f t="shared" ref="I13:K13" si="1">I11+I12</f>
        <v>1.629212962962963</v>
      </c>
      <c r="J13" s="54">
        <f t="shared" si="1"/>
        <v>0.40787962962962965</v>
      </c>
      <c r="K13" s="54">
        <f t="shared" si="1"/>
        <v>2.5651574074074075</v>
      </c>
    </row>
    <row r="14" spans="2:11" s="2" customFormat="1" x14ac:dyDescent="0.3">
      <c r="B14" s="48">
        <v>1.3</v>
      </c>
      <c r="C14" s="49" t="str">
        <f>'1.3'!C2</f>
        <v>Supportive Supervision to ensure quality implementation</v>
      </c>
      <c r="D14" s="395"/>
      <c r="E14" s="395"/>
      <c r="F14" s="395"/>
      <c r="G14" s="395"/>
      <c r="H14" s="388"/>
      <c r="I14" s="50"/>
      <c r="J14" s="50"/>
      <c r="K14" s="50"/>
    </row>
    <row r="15" spans="2:11" ht="14.25" customHeight="1" x14ac:dyDescent="0.3">
      <c r="B15" s="51"/>
      <c r="C15" s="52" t="str">
        <f>'1.3'!C3</f>
        <v>Supportive Supervision</v>
      </c>
      <c r="D15" s="393">
        <f>'1.3'!L29/1000000</f>
        <v>0.14133333333333334</v>
      </c>
      <c r="E15" s="393">
        <f>'1.3'!M29/1000000</f>
        <v>0.14133333333333334</v>
      </c>
      <c r="F15" s="393">
        <f>'1.3'!N29/1000000</f>
        <v>0.21675</v>
      </c>
      <c r="G15" s="393">
        <f>'1.3'!O29/1000000</f>
        <v>0.29216666666666669</v>
      </c>
      <c r="H15" s="605">
        <f>'1.3'!D4/1000000</f>
        <v>0.79158333333333342</v>
      </c>
      <c r="I15" s="47">
        <f>'1.3'!E4/1000000</f>
        <v>1.2799499999999999</v>
      </c>
      <c r="J15" s="47">
        <f>'1.3'!F4/1000000</f>
        <v>1.5477200000000002</v>
      </c>
      <c r="K15" s="47">
        <f>'1.3'!G4/1000000</f>
        <v>3.6192533333333339</v>
      </c>
    </row>
    <row r="16" spans="2:11" x14ac:dyDescent="0.3">
      <c r="B16" s="51"/>
      <c r="C16" s="53" t="s">
        <v>10</v>
      </c>
      <c r="D16" s="394">
        <f>D15</f>
        <v>0.14133333333333334</v>
      </c>
      <c r="E16" s="394">
        <f t="shared" ref="E16:G16" si="2">E15</f>
        <v>0.14133333333333334</v>
      </c>
      <c r="F16" s="394">
        <f t="shared" si="2"/>
        <v>0.21675</v>
      </c>
      <c r="G16" s="394">
        <f t="shared" si="2"/>
        <v>0.29216666666666669</v>
      </c>
      <c r="H16" s="389">
        <f>H15</f>
        <v>0.79158333333333342</v>
      </c>
      <c r="I16" s="54">
        <f t="shared" ref="I16:K16" si="3">I15</f>
        <v>1.2799499999999999</v>
      </c>
      <c r="J16" s="54">
        <f t="shared" si="3"/>
        <v>1.5477200000000002</v>
      </c>
      <c r="K16" s="54">
        <f t="shared" si="3"/>
        <v>3.6192533333333339</v>
      </c>
    </row>
    <row r="17" spans="2:11" s="2" customFormat="1" x14ac:dyDescent="0.3">
      <c r="B17" s="48">
        <v>1.4</v>
      </c>
      <c r="C17" s="49" t="str">
        <f>'1.4'!C2</f>
        <v>Implement EVM improvement plans</v>
      </c>
      <c r="D17" s="395"/>
      <c r="E17" s="395"/>
      <c r="F17" s="395"/>
      <c r="G17" s="395"/>
      <c r="H17" s="388"/>
      <c r="I17" s="50"/>
      <c r="J17" s="50"/>
      <c r="K17" s="50"/>
    </row>
    <row r="18" spans="2:11" x14ac:dyDescent="0.3">
      <c r="B18" s="51"/>
      <c r="C18" s="52" t="str">
        <f>'1.4'!C3</f>
        <v>EVMs Conducted and PIPs implemented in Larger states</v>
      </c>
      <c r="D18" s="393">
        <f>'1.4'!L66/1000000</f>
        <v>0</v>
      </c>
      <c r="E18" s="393">
        <f>'1.4'!M66/1000000</f>
        <v>0</v>
      </c>
      <c r="F18" s="393">
        <f>'1.4'!N66/1000000</f>
        <v>8.0814814814814812E-2</v>
      </c>
      <c r="G18" s="393">
        <f>'1.4'!O66/1000000</f>
        <v>4.0518518518518516E-2</v>
      </c>
      <c r="H18" s="605">
        <f>'1.4'!D3/1000000</f>
        <v>0.12133333333333335</v>
      </c>
      <c r="I18" s="47">
        <f>'1.4'!E3/1000000</f>
        <v>0.61775925925925934</v>
      </c>
      <c r="J18" s="47">
        <f>'1.4'!F3/1000000</f>
        <v>1.1530185185185184</v>
      </c>
      <c r="K18" s="47">
        <f>'1.4'!G3/1000000</f>
        <v>1.8921111111111111</v>
      </c>
    </row>
    <row r="19" spans="2:11" x14ac:dyDescent="0.3">
      <c r="B19" s="51"/>
      <c r="C19" s="52" t="str">
        <f>'1.4'!C4</f>
        <v>Nationwide rollout of the national cold chain MIS</v>
      </c>
      <c r="D19" s="393">
        <f>'1.4'!L67/1000000</f>
        <v>0</v>
      </c>
      <c r="E19" s="393">
        <f>'1.4'!M67/1000000</f>
        <v>0</v>
      </c>
      <c r="F19" s="393">
        <f>'1.4'!N67/1000000</f>
        <v>5.1388888888888894E-2</v>
      </c>
      <c r="G19" s="393">
        <f>'1.4'!O67/1000000</f>
        <v>0.13472222222222222</v>
      </c>
      <c r="H19" s="605">
        <f>'1.4'!D4/1000000</f>
        <v>0.18611111111111112</v>
      </c>
      <c r="I19" s="47">
        <f>'1.4'!E4/1000000</f>
        <v>0.28755555555555556</v>
      </c>
      <c r="J19" s="47">
        <f>'1.4'!F4/1000000</f>
        <v>0.45983333333333332</v>
      </c>
      <c r="K19" s="47">
        <f>'1.4'!G4/1000000</f>
        <v>0.9335</v>
      </c>
    </row>
    <row r="20" spans="2:11" x14ac:dyDescent="0.3">
      <c r="B20" s="51"/>
      <c r="C20" s="52" t="str">
        <f>'1.4'!C5</f>
        <v>Integration of VLM system based on existing models</v>
      </c>
      <c r="D20" s="393">
        <f>'1.4'!L68/1000000</f>
        <v>0</v>
      </c>
      <c r="E20" s="393">
        <f>'1.4'!M68/1000000</f>
        <v>0</v>
      </c>
      <c r="F20" s="393">
        <f>'1.4'!N68/1000000</f>
        <v>5.1388888888888894E-2</v>
      </c>
      <c r="G20" s="393">
        <f>'1.4'!O68/1000000</f>
        <v>8.3333333333333329E-2</v>
      </c>
      <c r="H20" s="605">
        <f>'1.4'!D5/1000000</f>
        <v>0.13472222222222222</v>
      </c>
      <c r="I20" s="47">
        <f>'1.4'!E5/1000000</f>
        <v>0.36746296296296299</v>
      </c>
      <c r="J20" s="47">
        <f>'1.4'!F5/1000000</f>
        <v>0.20422222222222222</v>
      </c>
      <c r="K20" s="47">
        <f>'1.4'!G5/1000000</f>
        <v>0.70640740740740737</v>
      </c>
    </row>
    <row r="21" spans="2:11" x14ac:dyDescent="0.3">
      <c r="B21" s="51"/>
      <c r="C21" s="53" t="s">
        <v>10</v>
      </c>
      <c r="D21" s="394">
        <f>D18+D19+D20</f>
        <v>0</v>
      </c>
      <c r="E21" s="394">
        <f t="shared" ref="E21:G21" si="4">E18+E19+E20</f>
        <v>0</v>
      </c>
      <c r="F21" s="394">
        <f t="shared" si="4"/>
        <v>0.18359259259259261</v>
      </c>
      <c r="G21" s="394">
        <f t="shared" si="4"/>
        <v>0.25857407407407407</v>
      </c>
      <c r="H21" s="389">
        <f>H18+H19+H20</f>
        <v>0.44216666666666671</v>
      </c>
      <c r="I21" s="54">
        <f t="shared" ref="I21:K21" si="5">I18+I19+I20</f>
        <v>1.2727777777777778</v>
      </c>
      <c r="J21" s="54">
        <f t="shared" si="5"/>
        <v>1.8170740740740741</v>
      </c>
      <c r="K21" s="54">
        <f t="shared" si="5"/>
        <v>3.5320185185185182</v>
      </c>
    </row>
    <row r="22" spans="2:11" s="2" customFormat="1" x14ac:dyDescent="0.3">
      <c r="B22" s="48">
        <v>1.5</v>
      </c>
      <c r="C22" s="49" t="str">
        <f>'1.5'!C2</f>
        <v>Institutional Capacity building to strengthen the cold chain system</v>
      </c>
      <c r="D22" s="395"/>
      <c r="E22" s="395"/>
      <c r="F22" s="395"/>
      <c r="G22" s="395"/>
      <c r="H22" s="388"/>
      <c r="I22" s="50"/>
      <c r="J22" s="50"/>
      <c r="K22" s="50"/>
    </row>
    <row r="23" spans="2:11" ht="15.75" customHeight="1" x14ac:dyDescent="0.3">
      <c r="B23" s="51"/>
      <c r="C23" s="52" t="str">
        <f>'1.5'!C3</f>
        <v>Build Institutional Capacity of the NCCVMRC</v>
      </c>
      <c r="D23" s="393">
        <f>'1.5'!L48/1000000</f>
        <v>0</v>
      </c>
      <c r="E23" s="393">
        <f>'1.5'!M48/1000000</f>
        <v>0</v>
      </c>
      <c r="F23" s="393">
        <f>'1.5'!N48/1000000</f>
        <v>0</v>
      </c>
      <c r="G23" s="393">
        <f>'1.5'!O48/1000000</f>
        <v>1.9037037037037039</v>
      </c>
      <c r="H23" s="605">
        <f>'1.5'!D3/1000000</f>
        <v>1.9037037037037039</v>
      </c>
      <c r="I23" s="47">
        <f>'1.5'!E3/1000000</f>
        <v>3.888888888888889E-2</v>
      </c>
      <c r="J23" s="47">
        <f>'1.5'!F3/1000000</f>
        <v>4.4444444444444446E-2</v>
      </c>
      <c r="K23" s="47">
        <f>'1.5'!G3/1000000</f>
        <v>1.9870370370370374</v>
      </c>
    </row>
    <row r="24" spans="2:11" ht="18" customHeight="1" x14ac:dyDescent="0.3">
      <c r="B24" s="51"/>
      <c r="C24" s="52" t="str">
        <f>'1.5'!C4</f>
        <v>Improve / operationalise existing cold chain equipment &amp; reduce sickness rate.</v>
      </c>
      <c r="D24" s="393">
        <f>'1.5'!L49/1000000</f>
        <v>0</v>
      </c>
      <c r="E24" s="393">
        <f>'1.5'!M49/1000000</f>
        <v>0</v>
      </c>
      <c r="F24" s="393">
        <f>'1.5'!N49/1000000</f>
        <v>0.2</v>
      </c>
      <c r="G24" s="393">
        <f>'1.5'!O49/1000000</f>
        <v>1.1022222222222222</v>
      </c>
      <c r="H24" s="605">
        <f>'1.5'!D4/1000000</f>
        <v>1.3022222222222222</v>
      </c>
      <c r="I24" s="47">
        <f>'1.5'!E4/1000000</f>
        <v>0.2</v>
      </c>
      <c r="J24" s="47">
        <f>'1.5'!F4/1000000</f>
        <v>0.2</v>
      </c>
      <c r="K24" s="47">
        <f>'1.5'!G4/1000000</f>
        <v>1.7022222222222223</v>
      </c>
    </row>
    <row r="25" spans="2:11" x14ac:dyDescent="0.3">
      <c r="B25" s="51"/>
      <c r="C25" s="53" t="s">
        <v>10</v>
      </c>
      <c r="D25" s="394">
        <f>D23+D24</f>
        <v>0</v>
      </c>
      <c r="E25" s="394">
        <f t="shared" ref="E25:G25" si="6">E23+E24</f>
        <v>0</v>
      </c>
      <c r="F25" s="394">
        <f t="shared" si="6"/>
        <v>0.2</v>
      </c>
      <c r="G25" s="394">
        <f t="shared" si="6"/>
        <v>3.0059259259259261</v>
      </c>
      <c r="H25" s="389">
        <f>SUM(H23:H24)</f>
        <v>3.2059259259259258</v>
      </c>
      <c r="I25" s="54">
        <f t="shared" ref="I25:K25" si="7">SUM(I23:I24)</f>
        <v>0.2388888888888889</v>
      </c>
      <c r="J25" s="54">
        <f t="shared" si="7"/>
        <v>0.24444444444444446</v>
      </c>
      <c r="K25" s="54">
        <f t="shared" si="7"/>
        <v>3.6892592592592597</v>
      </c>
    </row>
    <row r="26" spans="2:11" s="2" customFormat="1" ht="28.8" x14ac:dyDescent="0.3">
      <c r="B26" s="48">
        <v>3.1</v>
      </c>
      <c r="C26" s="49" t="str">
        <f>'3.1'!C2</f>
        <v>Implement Multi pronged national BCC strategy development and operational plans</v>
      </c>
      <c r="D26" s="395">
        <f>'3.1'!L34/1000000</f>
        <v>0</v>
      </c>
      <c r="E26" s="395">
        <f>'3.1'!M34/1000000</f>
        <v>0</v>
      </c>
      <c r="F26" s="395">
        <f>'3.1'!N34/1000000</f>
        <v>0.31081481481481482</v>
      </c>
      <c r="G26" s="395">
        <f>'3.1'!O34/1000000</f>
        <v>0.38851851851851854</v>
      </c>
      <c r="H26" s="605">
        <f>'3.1'!D4/1000000</f>
        <v>0.69933333333333336</v>
      </c>
      <c r="I26" s="47">
        <f>'3.1'!E4/1000000</f>
        <v>0.45740740740740743</v>
      </c>
      <c r="J26" s="47">
        <f>'3.1'!F4/1000000</f>
        <v>0.67962962962962969</v>
      </c>
      <c r="K26" s="47">
        <f>'3.1'!G4/1000000</f>
        <v>1.8363703703703704</v>
      </c>
    </row>
    <row r="27" spans="2:11" x14ac:dyDescent="0.3">
      <c r="B27" s="51"/>
      <c r="C27" s="53" t="s">
        <v>10</v>
      </c>
      <c r="D27" s="394">
        <f>D26</f>
        <v>0</v>
      </c>
      <c r="E27" s="394">
        <f t="shared" ref="E27:G27" si="8">E26</f>
        <v>0</v>
      </c>
      <c r="F27" s="394">
        <f t="shared" si="8"/>
        <v>0.31081481481481482</v>
      </c>
      <c r="G27" s="394">
        <f t="shared" si="8"/>
        <v>0.38851851851851854</v>
      </c>
      <c r="H27" s="389">
        <f>H26</f>
        <v>0.69933333333333336</v>
      </c>
      <c r="I27" s="54">
        <f t="shared" ref="I27:K27" si="9">I26</f>
        <v>0.45740740740740743</v>
      </c>
      <c r="J27" s="54">
        <f t="shared" si="9"/>
        <v>0.67962962962962969</v>
      </c>
      <c r="K27" s="54">
        <f t="shared" si="9"/>
        <v>1.8363703703703704</v>
      </c>
    </row>
    <row r="28" spans="2:11" s="2" customFormat="1" ht="27.75" customHeight="1" x14ac:dyDescent="0.3">
      <c r="B28" s="48">
        <v>3.2</v>
      </c>
      <c r="C28" s="49" t="str">
        <f>'3.2'!C2</f>
        <v>Enhance Infrastructure and HR Capacity to develop and implement BCC strategies</v>
      </c>
      <c r="D28" s="395">
        <f>'3.2'!L27/1000000</f>
        <v>0.69444444444444453</v>
      </c>
      <c r="E28" s="395">
        <f>'3.2'!M27/1000000</f>
        <v>0.72753703703703709</v>
      </c>
      <c r="F28" s="395">
        <f>'3.2'!N27/1000000</f>
        <v>0.94620370370370377</v>
      </c>
      <c r="G28" s="395">
        <f>'3.2'!O27/1000000</f>
        <v>0.89444444444444449</v>
      </c>
      <c r="H28" s="605">
        <f>'3.2'!D4/1000000</f>
        <v>3.2626296296296298</v>
      </c>
      <c r="I28" s="47">
        <f>'3.2'!E4/1000000</f>
        <v>3.571333333333333</v>
      </c>
      <c r="J28" s="47">
        <f>'3.2'!F4/1000000</f>
        <v>3.5172222222222227</v>
      </c>
      <c r="K28" s="47">
        <f>'3.2'!G4/1000000</f>
        <v>10.351185185185185</v>
      </c>
    </row>
    <row r="29" spans="2:11" s="2" customFormat="1" x14ac:dyDescent="0.3">
      <c r="B29" s="48"/>
      <c r="C29" s="53" t="s">
        <v>10</v>
      </c>
      <c r="D29" s="394">
        <f>D28</f>
        <v>0.69444444444444453</v>
      </c>
      <c r="E29" s="394">
        <f t="shared" ref="E29:G29" si="10">E28</f>
        <v>0.72753703703703709</v>
      </c>
      <c r="F29" s="394">
        <f t="shared" si="10"/>
        <v>0.94620370370370377</v>
      </c>
      <c r="G29" s="394">
        <f t="shared" si="10"/>
        <v>0.89444444444444449</v>
      </c>
      <c r="H29" s="389">
        <f>H28</f>
        <v>3.2626296296296298</v>
      </c>
      <c r="I29" s="54">
        <f t="shared" ref="I29:K29" si="11">I28</f>
        <v>3.571333333333333</v>
      </c>
      <c r="J29" s="54">
        <f t="shared" si="11"/>
        <v>3.5172222222222227</v>
      </c>
      <c r="K29" s="54">
        <f t="shared" si="11"/>
        <v>10.351185185185185</v>
      </c>
    </row>
    <row r="30" spans="2:11" s="2" customFormat="1" ht="18.75" customHeight="1" x14ac:dyDescent="0.3">
      <c r="B30" s="48">
        <v>3.3</v>
      </c>
      <c r="C30" s="49" t="str">
        <f>'3.3'!C2</f>
        <v>Develop and Broadcast immunisation messages through mass media</v>
      </c>
      <c r="D30" s="395">
        <f>'3.3'!L31/1000000</f>
        <v>0</v>
      </c>
      <c r="E30" s="395">
        <f>'3.3'!M31/1000000</f>
        <v>0.58766790123456791</v>
      </c>
      <c r="F30" s="395">
        <f>'3.3'!N31/1000000</f>
        <v>0.68475586419753076</v>
      </c>
      <c r="G30" s="395">
        <f>'3.3'!O31/1000000</f>
        <v>0.67655679012345671</v>
      </c>
      <c r="H30" s="388">
        <f>'3.3'!D4/1000000</f>
        <v>1.9489805555555555</v>
      </c>
      <c r="I30" s="50">
        <f>'3.3'!E4/1000000</f>
        <v>1.902684259259259</v>
      </c>
      <c r="J30" s="50">
        <f>'3.3'!F4/1000000</f>
        <v>1.7630037037037036</v>
      </c>
      <c r="K30" s="50">
        <f>'3.3'!G4/1000000</f>
        <v>5.6146685185185179</v>
      </c>
    </row>
    <row r="31" spans="2:11" s="2" customFormat="1" x14ac:dyDescent="0.3">
      <c r="B31" s="48"/>
      <c r="C31" s="53" t="s">
        <v>10</v>
      </c>
      <c r="D31" s="394">
        <f>D30</f>
        <v>0</v>
      </c>
      <c r="E31" s="394">
        <f t="shared" ref="E31:G31" si="12">E30</f>
        <v>0.58766790123456791</v>
      </c>
      <c r="F31" s="394">
        <f t="shared" si="12"/>
        <v>0.68475586419753076</v>
      </c>
      <c r="G31" s="394">
        <f t="shared" si="12"/>
        <v>0.67655679012345671</v>
      </c>
      <c r="H31" s="389">
        <f>H30</f>
        <v>1.9489805555555555</v>
      </c>
      <c r="I31" s="54">
        <f t="shared" ref="I31:K31" si="13">I30</f>
        <v>1.902684259259259</v>
      </c>
      <c r="J31" s="54">
        <f t="shared" si="13"/>
        <v>1.7630037037037036</v>
      </c>
      <c r="K31" s="54">
        <f t="shared" si="13"/>
        <v>5.6146685185185179</v>
      </c>
    </row>
    <row r="32" spans="2:11" s="2" customFormat="1" ht="28.8" x14ac:dyDescent="0.3">
      <c r="B32" s="48">
        <v>3.4</v>
      </c>
      <c r="C32" s="49" t="str">
        <f>'3.4'!C2</f>
        <v>Promote advocacy with media for creating an enabling environment for increasing demand for RI services</v>
      </c>
      <c r="D32" s="395">
        <f>'3.4'!L39/1000000</f>
        <v>0</v>
      </c>
      <c r="E32" s="395">
        <f>'3.4'!M39/1000000</f>
        <v>0.307</v>
      </c>
      <c r="F32" s="395">
        <f>'3.4'!N39/1000000</f>
        <v>0.35772222222222227</v>
      </c>
      <c r="G32" s="395">
        <f>'3.4'!O39/1000000</f>
        <v>0.48222222222222227</v>
      </c>
      <c r="H32" s="388">
        <f>'3.4'!D4/1000000</f>
        <v>1.1469444444444445</v>
      </c>
      <c r="I32" s="50">
        <f>'3.4'!E4/1000000</f>
        <v>1.1824814814814815</v>
      </c>
      <c r="J32" s="50">
        <f>'3.4'!F4/1000000</f>
        <v>0.16137037037037036</v>
      </c>
      <c r="K32" s="50">
        <f>'3.4'!G4/1000000</f>
        <v>2.4907962962962968</v>
      </c>
    </row>
    <row r="33" spans="2:16" s="2" customFormat="1" x14ac:dyDescent="0.3">
      <c r="B33" s="48"/>
      <c r="C33" s="53" t="s">
        <v>10</v>
      </c>
      <c r="D33" s="394">
        <f>D32</f>
        <v>0</v>
      </c>
      <c r="E33" s="394">
        <f t="shared" ref="E33:G33" si="14">E32</f>
        <v>0.307</v>
      </c>
      <c r="F33" s="394">
        <f t="shared" si="14"/>
        <v>0.35772222222222227</v>
      </c>
      <c r="G33" s="394">
        <f t="shared" si="14"/>
        <v>0.48222222222222227</v>
      </c>
      <c r="H33" s="389">
        <f>H32</f>
        <v>1.1469444444444445</v>
      </c>
      <c r="I33" s="54">
        <f t="shared" ref="I33:K35" si="15">I32</f>
        <v>1.1824814814814815</v>
      </c>
      <c r="J33" s="54">
        <f t="shared" si="15"/>
        <v>0.16137037037037036</v>
      </c>
      <c r="K33" s="54">
        <f t="shared" si="15"/>
        <v>2.4907962962962968</v>
      </c>
    </row>
    <row r="34" spans="2:16" s="2" customFormat="1" x14ac:dyDescent="0.3">
      <c r="B34" s="55"/>
      <c r="C34" s="606" t="s">
        <v>16</v>
      </c>
      <c r="D34" s="395">
        <f>H34/4</f>
        <v>0.125</v>
      </c>
      <c r="E34" s="395">
        <f t="shared" ref="E34:G34" si="16">I34/4</f>
        <v>0.125</v>
      </c>
      <c r="F34" s="395">
        <f t="shared" si="16"/>
        <v>0.125</v>
      </c>
      <c r="G34" s="395">
        <f t="shared" si="16"/>
        <v>0.375</v>
      </c>
      <c r="H34" s="390">
        <v>0.5</v>
      </c>
      <c r="I34" s="56">
        <v>0.5</v>
      </c>
      <c r="J34" s="56">
        <v>0.5</v>
      </c>
      <c r="K34" s="56">
        <v>1.5</v>
      </c>
    </row>
    <row r="35" spans="2:16" s="2" customFormat="1" x14ac:dyDescent="0.3">
      <c r="B35" s="55"/>
      <c r="C35" s="53" t="s">
        <v>10</v>
      </c>
      <c r="D35" s="394">
        <f>D34</f>
        <v>0.125</v>
      </c>
      <c r="E35" s="394">
        <f t="shared" ref="E35:G35" si="17">E34</f>
        <v>0.125</v>
      </c>
      <c r="F35" s="394">
        <f t="shared" si="17"/>
        <v>0.125</v>
      </c>
      <c r="G35" s="394">
        <f t="shared" si="17"/>
        <v>0.375</v>
      </c>
      <c r="H35" s="389">
        <f>H34</f>
        <v>0.5</v>
      </c>
      <c r="I35" s="54">
        <f t="shared" si="15"/>
        <v>0.5</v>
      </c>
      <c r="J35" s="54">
        <f t="shared" si="15"/>
        <v>0.5</v>
      </c>
      <c r="K35" s="54">
        <f t="shared" si="15"/>
        <v>1.5</v>
      </c>
    </row>
    <row r="36" spans="2:16" s="2" customFormat="1" x14ac:dyDescent="0.3">
      <c r="B36" s="48"/>
      <c r="C36" s="57" t="s">
        <v>15</v>
      </c>
      <c r="D36" s="396"/>
      <c r="E36" s="396"/>
      <c r="F36" s="396"/>
      <c r="G36" s="396"/>
      <c r="H36" s="391">
        <f>H13+H16+H21+H25+H27+H29+H31+H33+H35</f>
        <v>12.525628703703706</v>
      </c>
      <c r="I36" s="58">
        <f t="shared" ref="I36:K36" si="18">I13+I16+I21+I25+I27+I29+I31+I33+I35</f>
        <v>12.03473611111111</v>
      </c>
      <c r="J36" s="58">
        <f t="shared" si="18"/>
        <v>10.638344074074073</v>
      </c>
      <c r="K36" s="58">
        <f t="shared" si="18"/>
        <v>35.198708888888888</v>
      </c>
      <c r="M36" s="665"/>
      <c r="N36" s="665"/>
      <c r="O36" s="665"/>
      <c r="P36" s="665"/>
    </row>
    <row r="37" spans="2:16" s="2" customFormat="1" x14ac:dyDescent="0.3">
      <c r="B37" s="59" t="s">
        <v>538</v>
      </c>
      <c r="C37" s="60" t="s">
        <v>586</v>
      </c>
      <c r="D37" s="615">
        <f>TA!M16/1000000</f>
        <v>0.1512</v>
      </c>
      <c r="E37" s="615">
        <f>TA!N16/1000000</f>
        <v>0.1512</v>
      </c>
      <c r="F37" s="615">
        <f>TA!O16/1000000</f>
        <v>0.1512</v>
      </c>
      <c r="G37" s="615">
        <f>TA!P16/1000000</f>
        <v>0.1512</v>
      </c>
      <c r="H37" s="615">
        <f>TA!Q16/1000000</f>
        <v>0.6048</v>
      </c>
      <c r="I37" s="615">
        <f>TA!R16/1000000</f>
        <v>0.66527999999999998</v>
      </c>
      <c r="J37" s="615">
        <f>TA!S16/1000000</f>
        <v>0.73180800000000001</v>
      </c>
      <c r="K37" s="615">
        <f>TA!T16/1000000</f>
        <v>2.0018880000000001</v>
      </c>
      <c r="M37" s="665"/>
      <c r="N37" s="665"/>
      <c r="O37" s="665"/>
      <c r="P37" s="665"/>
    </row>
    <row r="38" spans="2:16" s="2" customFormat="1" x14ac:dyDescent="0.3">
      <c r="B38" s="59"/>
      <c r="C38" s="53" t="s">
        <v>10</v>
      </c>
      <c r="D38" s="394"/>
      <c r="E38" s="394"/>
      <c r="F38" s="394"/>
      <c r="G38" s="394"/>
      <c r="H38" s="389">
        <f>H36+H37</f>
        <v>13.130428703703707</v>
      </c>
      <c r="I38" s="54">
        <f>I36+I37</f>
        <v>12.700016111111109</v>
      </c>
      <c r="J38" s="54">
        <f>J36+J37</f>
        <v>11.370152074074074</v>
      </c>
      <c r="K38" s="54">
        <f>K36+K37</f>
        <v>37.200596888888889</v>
      </c>
    </row>
    <row r="39" spans="2:16" x14ac:dyDescent="0.3">
      <c r="B39" s="61"/>
      <c r="C39" s="52" t="s">
        <v>139</v>
      </c>
      <c r="D39" s="393"/>
      <c r="E39" s="393"/>
      <c r="F39" s="393"/>
      <c r="G39" s="393"/>
      <c r="H39" s="605">
        <f>SUM(2.8/3.31)</f>
        <v>0.84592145015105735</v>
      </c>
      <c r="I39" s="605">
        <f>SUM(2.8*1.1/3.31)</f>
        <v>0.93051359516616317</v>
      </c>
      <c r="J39" s="605">
        <f>SUM(2.8*1.21/3.31)</f>
        <v>1.0235649546827794</v>
      </c>
      <c r="K39" s="47">
        <f>40*7%</f>
        <v>2.8000000000000003</v>
      </c>
      <c r="M39" s="666"/>
      <c r="N39" s="666"/>
      <c r="O39" s="666"/>
      <c r="P39" s="666"/>
    </row>
    <row r="40" spans="2:16" s="2" customFormat="1" x14ac:dyDescent="0.3">
      <c r="B40" s="62"/>
      <c r="C40" s="63" t="s">
        <v>19</v>
      </c>
      <c r="D40" s="396"/>
      <c r="E40" s="396"/>
      <c r="F40" s="396"/>
      <c r="G40" s="396"/>
      <c r="H40" s="391">
        <f>H38+H39</f>
        <v>13.976350153854764</v>
      </c>
      <c r="I40" s="58">
        <f t="shared" ref="I40:K40" si="19">I38+I39</f>
        <v>13.630529706277272</v>
      </c>
      <c r="J40" s="58">
        <f t="shared" si="19"/>
        <v>12.393717028756853</v>
      </c>
      <c r="K40" s="58">
        <f t="shared" si="19"/>
        <v>40.000596888888886</v>
      </c>
      <c r="L40" s="64"/>
    </row>
    <row r="41" spans="2:16" x14ac:dyDescent="0.3">
      <c r="H41" s="616"/>
      <c r="I41" s="616"/>
      <c r="J41" s="616"/>
      <c r="K41" s="616"/>
    </row>
    <row r="42" spans="2:16" x14ac:dyDescent="0.3">
      <c r="D42" s="1"/>
      <c r="E42" s="1"/>
      <c r="F42" s="1"/>
      <c r="G42" s="1"/>
    </row>
    <row r="43" spans="2:16" x14ac:dyDescent="0.3">
      <c r="G43" s="1"/>
    </row>
    <row r="44" spans="2:16" x14ac:dyDescent="0.3">
      <c r="G44" s="1"/>
    </row>
  </sheetData>
  <mergeCells count="4">
    <mergeCell ref="D7:G7"/>
    <mergeCell ref="H7:K7"/>
    <mergeCell ref="D8:G8"/>
    <mergeCell ref="H8:K8"/>
  </mergeCells>
  <pageMargins left="0.7" right="0.7" top="0.75" bottom="0.75" header="0.3" footer="0.3"/>
  <pageSetup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171"/>
  <sheetViews>
    <sheetView view="pageBreakPreview" zoomScale="60" zoomScaleNormal="80" workbookViewId="0">
      <selection activeCell="F42" sqref="F42"/>
    </sheetView>
  </sheetViews>
  <sheetFormatPr defaultColWidth="10.109375" defaultRowHeight="14.4" x14ac:dyDescent="0.3"/>
  <cols>
    <col min="1" max="1" width="3.109375" style="1" customWidth="1"/>
    <col min="2" max="2" width="6.109375" style="1" customWidth="1"/>
    <col min="3" max="3" width="37.88671875" style="1" customWidth="1"/>
    <col min="4" max="4" width="13.44140625" style="1" customWidth="1"/>
    <col min="5" max="5" width="13" style="1" bestFit="1" customWidth="1"/>
    <col min="6" max="6" width="11.88671875" style="1" customWidth="1"/>
    <col min="7" max="7" width="12.88671875" style="1" bestFit="1" customWidth="1"/>
    <col min="8" max="8" width="8.44140625" style="1" customWidth="1"/>
    <col min="9" max="9" width="16.33203125" style="1" customWidth="1"/>
    <col min="10" max="10" width="11.5546875" style="1" customWidth="1"/>
    <col min="11" max="11" width="8.109375" style="1" bestFit="1" customWidth="1"/>
    <col min="12" max="15" width="12.33203125" style="1" bestFit="1" customWidth="1"/>
    <col min="16" max="16" width="13.5546875" style="1" bestFit="1" customWidth="1"/>
    <col min="17" max="18" width="13.44140625" style="1" bestFit="1" customWidth="1"/>
    <col min="19" max="19" width="14" style="1" bestFit="1" customWidth="1"/>
    <col min="20" max="16384" width="10.109375" style="1"/>
  </cols>
  <sheetData>
    <row r="2" spans="2:19" ht="28.8" x14ac:dyDescent="0.3">
      <c r="B2" s="48">
        <v>1.2</v>
      </c>
      <c r="C2" s="65" t="s">
        <v>539</v>
      </c>
      <c r="D2" s="62" t="s">
        <v>26</v>
      </c>
      <c r="E2" s="62" t="s">
        <v>27</v>
      </c>
      <c r="F2" s="62" t="s">
        <v>28</v>
      </c>
      <c r="G2" s="62" t="s">
        <v>9</v>
      </c>
    </row>
    <row r="3" spans="2:19" ht="28.8" x14ac:dyDescent="0.3">
      <c r="B3" s="51" t="s">
        <v>140</v>
      </c>
      <c r="C3" s="66" t="s">
        <v>469</v>
      </c>
      <c r="D3" s="67">
        <f>P30+P39+P45</f>
        <v>347212.96296296292</v>
      </c>
      <c r="E3" s="67">
        <f t="shared" ref="E3:F3" si="0">Q30+Q39+Q45</f>
        <v>376101.85185185191</v>
      </c>
      <c r="F3" s="67">
        <f t="shared" si="0"/>
        <v>407879.62962962966</v>
      </c>
      <c r="G3" s="67">
        <f>D3+E3+F3</f>
        <v>1131194.4444444445</v>
      </c>
    </row>
    <row r="4" spans="2:19" x14ac:dyDescent="0.3">
      <c r="B4" s="51" t="s">
        <v>141</v>
      </c>
      <c r="C4" s="66" t="s">
        <v>142</v>
      </c>
      <c r="D4" s="67">
        <f>P52+P59+P66</f>
        <v>180851.85185185185</v>
      </c>
      <c r="E4" s="67">
        <f t="shared" ref="E4:F4" si="1">Q52+Q59+Q66</f>
        <v>1253111.111111111</v>
      </c>
      <c r="F4" s="67">
        <f t="shared" si="1"/>
        <v>0</v>
      </c>
      <c r="G4" s="67">
        <f t="shared" ref="G4" si="2">D4+E4+F4</f>
        <v>1433962.9629629629</v>
      </c>
    </row>
    <row r="5" spans="2:19" x14ac:dyDescent="0.3">
      <c r="B5" s="51"/>
      <c r="C5" s="68" t="s">
        <v>10</v>
      </c>
      <c r="D5" s="69">
        <f>D3+D4</f>
        <v>528064.81481481483</v>
      </c>
      <c r="E5" s="69">
        <f t="shared" ref="E5:G5" si="3">E3+E4</f>
        <v>1629212.9629629629</v>
      </c>
      <c r="F5" s="69">
        <f t="shared" si="3"/>
        <v>407879.62962962966</v>
      </c>
      <c r="G5" s="69">
        <f t="shared" si="3"/>
        <v>2565157.4074074076</v>
      </c>
    </row>
    <row r="6" spans="2:19" x14ac:dyDescent="0.3">
      <c r="B6" s="70"/>
      <c r="C6" s="71"/>
      <c r="D6" s="72"/>
      <c r="E6" s="72"/>
      <c r="F6" s="72"/>
      <c r="G6" s="72"/>
    </row>
    <row r="7" spans="2:19" ht="15.75" customHeight="1" x14ac:dyDescent="0.3">
      <c r="B7" s="784" t="s">
        <v>34</v>
      </c>
      <c r="C7" s="785"/>
      <c r="D7" s="785"/>
      <c r="E7" s="785"/>
      <c r="F7" s="785"/>
      <c r="G7" s="785"/>
      <c r="H7" s="785"/>
      <c r="I7" s="785"/>
      <c r="J7" s="786"/>
    </row>
    <row r="8" spans="2:19" x14ac:dyDescent="0.3">
      <c r="B8" s="51"/>
      <c r="C8" s="73"/>
      <c r="D8" s="74"/>
      <c r="E8" s="74"/>
      <c r="F8" s="74"/>
      <c r="G8" s="74"/>
      <c r="H8" s="3"/>
      <c r="I8" s="3"/>
      <c r="J8" s="3"/>
      <c r="K8" s="3"/>
      <c r="L8" s="782" t="s">
        <v>26</v>
      </c>
      <c r="M8" s="782"/>
      <c r="N8" s="782"/>
      <c r="O8" s="782"/>
      <c r="P8" s="75" t="s">
        <v>26</v>
      </c>
      <c r="Q8" s="76" t="s">
        <v>27</v>
      </c>
      <c r="R8" s="76" t="s">
        <v>28</v>
      </c>
      <c r="S8" s="77" t="s">
        <v>19</v>
      </c>
    </row>
    <row r="9" spans="2:19" x14ac:dyDescent="0.3">
      <c r="B9" s="78"/>
      <c r="C9" s="73"/>
      <c r="D9" s="74"/>
      <c r="E9" s="74"/>
      <c r="F9" s="74"/>
      <c r="G9" s="74"/>
      <c r="H9" s="79"/>
      <c r="I9" s="3"/>
      <c r="J9" s="3"/>
      <c r="K9" s="3"/>
      <c r="L9" s="80" t="s">
        <v>36</v>
      </c>
      <c r="M9" s="80" t="s">
        <v>37</v>
      </c>
      <c r="N9" s="80" t="s">
        <v>38</v>
      </c>
      <c r="O9" s="80" t="s">
        <v>39</v>
      </c>
      <c r="P9" s="75" t="s">
        <v>9</v>
      </c>
      <c r="Q9" s="81" t="s">
        <v>9</v>
      </c>
      <c r="R9" s="81" t="s">
        <v>9</v>
      </c>
      <c r="S9" s="77"/>
    </row>
    <row r="10" spans="2:19" ht="39" customHeight="1" x14ac:dyDescent="0.3">
      <c r="B10" s="78"/>
      <c r="C10" s="607" t="str">
        <f>B18</f>
        <v>1.2.1 a Establish the NCCVMRC at NIHFW, Delhi and NCCTC at Pune</v>
      </c>
      <c r="D10" s="608"/>
      <c r="E10" s="608"/>
      <c r="F10" s="608"/>
      <c r="G10" s="608"/>
      <c r="H10" s="608"/>
      <c r="I10" s="608"/>
      <c r="J10" s="609"/>
      <c r="K10" s="3"/>
      <c r="L10" s="3" t="s">
        <v>143</v>
      </c>
      <c r="M10" s="3" t="s">
        <v>143</v>
      </c>
      <c r="N10" s="3" t="s">
        <v>143</v>
      </c>
      <c r="O10" s="3" t="s">
        <v>143</v>
      </c>
      <c r="P10" s="82" t="s">
        <v>143</v>
      </c>
      <c r="Q10" s="82" t="s">
        <v>143</v>
      </c>
      <c r="R10" s="82" t="s">
        <v>143</v>
      </c>
      <c r="S10" s="83" t="s">
        <v>143</v>
      </c>
    </row>
    <row r="11" spans="2:19" ht="21.75" customHeight="1" x14ac:dyDescent="0.3">
      <c r="B11" s="78"/>
      <c r="C11" s="787" t="str">
        <f>B32</f>
        <v>1.2.1 b Study Tour to WHO Accredited Lab-Center - 7 days (Organised by NCCTC)</v>
      </c>
      <c r="D11" s="788"/>
      <c r="E11" s="788"/>
      <c r="F11" s="788"/>
      <c r="G11" s="788"/>
      <c r="H11" s="788"/>
      <c r="I11" s="788"/>
      <c r="J11" s="789"/>
      <c r="K11" s="3"/>
      <c r="L11" s="3"/>
      <c r="M11" s="3"/>
      <c r="N11" s="3"/>
      <c r="O11" s="3">
        <v>1</v>
      </c>
      <c r="P11" s="82">
        <v>1</v>
      </c>
      <c r="Q11" s="82">
        <v>1</v>
      </c>
      <c r="R11" s="82">
        <v>1</v>
      </c>
      <c r="S11" s="83">
        <v>3</v>
      </c>
    </row>
    <row r="12" spans="2:19" ht="15" customHeight="1" x14ac:dyDescent="0.3">
      <c r="B12" s="78"/>
      <c r="C12" s="787" t="str">
        <f>B41</f>
        <v>1.2.1 c Consultation meetings to develop 1. National Cold Chain Development Plan, 2. National Standards on Cold Chain System and 3. Standard Cold Chain equipment &amp; training modules/ Job-Aids</v>
      </c>
      <c r="D12" s="788"/>
      <c r="E12" s="788"/>
      <c r="F12" s="788"/>
      <c r="G12" s="788"/>
      <c r="H12" s="788"/>
      <c r="I12" s="788"/>
      <c r="J12" s="789"/>
      <c r="K12" s="3"/>
      <c r="L12" s="3"/>
      <c r="M12" s="3"/>
      <c r="N12" s="3"/>
      <c r="O12" s="3">
        <v>1</v>
      </c>
      <c r="P12" s="82">
        <v>1</v>
      </c>
      <c r="Q12" s="82">
        <v>1</v>
      </c>
      <c r="R12" s="82">
        <v>1</v>
      </c>
      <c r="S12" s="83">
        <v>3</v>
      </c>
    </row>
    <row r="13" spans="2:19" ht="15" customHeight="1" x14ac:dyDescent="0.3">
      <c r="B13" s="78"/>
      <c r="C13" s="787" t="str">
        <f>B48</f>
        <v xml:space="preserve">1.2.2 a National ToT on Effective Cold Chain &amp; Vaccine Logistics Management (ECCVLM) </v>
      </c>
      <c r="D13" s="788"/>
      <c r="E13" s="788"/>
      <c r="F13" s="788"/>
      <c r="G13" s="788"/>
      <c r="H13" s="788"/>
      <c r="I13" s="788"/>
      <c r="J13" s="789"/>
      <c r="K13" s="3"/>
      <c r="L13" s="3"/>
      <c r="M13" s="3"/>
      <c r="N13" s="3"/>
      <c r="O13" s="3">
        <v>2</v>
      </c>
      <c r="P13" s="82">
        <v>2</v>
      </c>
      <c r="Q13" s="82"/>
      <c r="R13" s="82"/>
      <c r="S13" s="83">
        <v>2</v>
      </c>
    </row>
    <row r="14" spans="2:19" ht="20.25" customHeight="1" x14ac:dyDescent="0.3">
      <c r="B14" s="78"/>
      <c r="C14" s="787" t="str">
        <f>B55</f>
        <v>1.2.2 b ECCVLM Training (540 staff-National &amp; state, including Vaccine Logistics managers' Induction) 18 batches in 9 states</v>
      </c>
      <c r="D14" s="788"/>
      <c r="E14" s="788"/>
      <c r="F14" s="788"/>
      <c r="G14" s="788"/>
      <c r="H14" s="788"/>
      <c r="I14" s="788"/>
      <c r="J14" s="789"/>
      <c r="K14" s="3"/>
      <c r="L14" s="3"/>
      <c r="M14" s="3"/>
      <c r="N14" s="3"/>
      <c r="O14" s="3"/>
      <c r="P14" s="82"/>
      <c r="Q14" s="82">
        <v>18</v>
      </c>
      <c r="R14" s="82"/>
      <c r="S14" s="83"/>
    </row>
    <row r="15" spans="2:19" ht="14.25" customHeight="1" x14ac:dyDescent="0.3">
      <c r="B15" s="78"/>
      <c r="C15" s="787" t="str">
        <f>B62</f>
        <v>1.2.2 c Induction training of 320 Cold Chain Technicians (CCT) / Cold Chain Consultants (CCC) in 9 batches</v>
      </c>
      <c r="D15" s="788"/>
      <c r="E15" s="788"/>
      <c r="F15" s="788"/>
      <c r="G15" s="788"/>
      <c r="H15" s="788"/>
      <c r="I15" s="788"/>
      <c r="J15" s="789"/>
      <c r="K15" s="3"/>
      <c r="L15" s="3"/>
      <c r="M15" s="3"/>
      <c r="N15" s="3"/>
      <c r="O15" s="3">
        <v>1</v>
      </c>
      <c r="P15" s="82">
        <v>1</v>
      </c>
      <c r="Q15" s="82">
        <v>8</v>
      </c>
      <c r="R15" s="82"/>
      <c r="S15" s="83">
        <v>9</v>
      </c>
    </row>
    <row r="17" spans="1:19" s="2" customFormat="1" x14ac:dyDescent="0.3">
      <c r="L17" s="778" t="s">
        <v>26</v>
      </c>
      <c r="M17" s="778"/>
      <c r="N17" s="778"/>
      <c r="O17" s="778"/>
      <c r="P17" s="84" t="s">
        <v>26</v>
      </c>
      <c r="Q17" s="85" t="s">
        <v>27</v>
      </c>
      <c r="R17" s="85" t="s">
        <v>28</v>
      </c>
      <c r="S17" s="86" t="s">
        <v>9</v>
      </c>
    </row>
    <row r="18" spans="1:19" x14ac:dyDescent="0.3">
      <c r="B18" s="790" t="s">
        <v>144</v>
      </c>
      <c r="C18" s="790"/>
      <c r="D18" s="790"/>
      <c r="E18" s="790"/>
      <c r="F18" s="790"/>
      <c r="G18" s="790"/>
      <c r="H18" s="790"/>
      <c r="I18" s="790"/>
      <c r="J18" s="790"/>
      <c r="K18" s="3"/>
      <c r="L18" s="80" t="s">
        <v>36</v>
      </c>
      <c r="M18" s="80" t="s">
        <v>37</v>
      </c>
      <c r="N18" s="80" t="s">
        <v>38</v>
      </c>
      <c r="O18" s="80" t="s">
        <v>39</v>
      </c>
      <c r="P18" s="75" t="s">
        <v>9</v>
      </c>
      <c r="Q18" s="81" t="s">
        <v>9</v>
      </c>
      <c r="R18" s="81" t="s">
        <v>9</v>
      </c>
      <c r="S18" s="77"/>
    </row>
    <row r="19" spans="1:19" ht="28.8" x14ac:dyDescent="0.3">
      <c r="B19" s="87"/>
      <c r="C19" s="87" t="s">
        <v>145</v>
      </c>
      <c r="D19" s="87" t="s">
        <v>79</v>
      </c>
      <c r="E19" s="87" t="s">
        <v>80</v>
      </c>
      <c r="F19" s="87" t="s">
        <v>146</v>
      </c>
      <c r="G19" s="87" t="s">
        <v>147</v>
      </c>
      <c r="H19" s="87" t="s">
        <v>148</v>
      </c>
      <c r="I19" s="88" t="s">
        <v>65</v>
      </c>
      <c r="J19" s="88" t="s">
        <v>81</v>
      </c>
      <c r="K19" s="3"/>
      <c r="L19" s="89"/>
      <c r="M19" s="89"/>
      <c r="N19" s="89"/>
      <c r="O19" s="89"/>
      <c r="P19" s="81"/>
      <c r="Q19" s="81"/>
      <c r="R19" s="81"/>
      <c r="S19" s="77"/>
    </row>
    <row r="20" spans="1:19" x14ac:dyDescent="0.3">
      <c r="B20" s="90">
        <v>1</v>
      </c>
      <c r="C20" s="90" t="s">
        <v>149</v>
      </c>
      <c r="D20" s="90"/>
      <c r="E20" s="91">
        <v>1</v>
      </c>
      <c r="F20" s="92">
        <v>150000</v>
      </c>
      <c r="G20" s="90">
        <v>12</v>
      </c>
      <c r="H20" s="90">
        <v>1</v>
      </c>
      <c r="I20" s="93">
        <f t="shared" ref="I20:I29" si="4">E20*F20*G20</f>
        <v>1800000</v>
      </c>
      <c r="J20" s="94">
        <f t="shared" ref="J20:J29" si="5">I20/54</f>
        <v>33333.333333333336</v>
      </c>
      <c r="K20" s="3"/>
      <c r="L20" s="89">
        <f>J20/4</f>
        <v>8333.3333333333339</v>
      </c>
      <c r="M20" s="89">
        <f>L20</f>
        <v>8333.3333333333339</v>
      </c>
      <c r="N20" s="89">
        <f t="shared" ref="N20:O20" si="6">M20</f>
        <v>8333.3333333333339</v>
      </c>
      <c r="O20" s="89">
        <f t="shared" si="6"/>
        <v>8333.3333333333339</v>
      </c>
      <c r="P20" s="81">
        <f>L20+M20+N20+O20</f>
        <v>33333.333333333336</v>
      </c>
      <c r="Q20" s="81">
        <f>P20*1.1</f>
        <v>36666.666666666672</v>
      </c>
      <c r="R20" s="81">
        <f>Q20*1.1</f>
        <v>40333.333333333343</v>
      </c>
      <c r="S20" s="77">
        <f>P20+Q20+R20</f>
        <v>110333.33333333334</v>
      </c>
    </row>
    <row r="21" spans="1:19" x14ac:dyDescent="0.3">
      <c r="B21" s="90">
        <v>2</v>
      </c>
      <c r="C21" s="90" t="s">
        <v>150</v>
      </c>
      <c r="D21" s="90"/>
      <c r="E21" s="91">
        <v>3</v>
      </c>
      <c r="F21" s="92">
        <v>120000</v>
      </c>
      <c r="G21" s="90">
        <v>12</v>
      </c>
      <c r="H21" s="90">
        <v>1</v>
      </c>
      <c r="I21" s="93">
        <f t="shared" si="4"/>
        <v>4320000</v>
      </c>
      <c r="J21" s="94">
        <f t="shared" si="5"/>
        <v>80000</v>
      </c>
      <c r="K21" s="3"/>
      <c r="L21" s="89">
        <f t="shared" ref="L21:L29" si="7">J21/4</f>
        <v>20000</v>
      </c>
      <c r="M21" s="89">
        <f t="shared" ref="M21:O30" si="8">L21</f>
        <v>20000</v>
      </c>
      <c r="N21" s="89">
        <f t="shared" si="8"/>
        <v>20000</v>
      </c>
      <c r="O21" s="89">
        <f t="shared" si="8"/>
        <v>20000</v>
      </c>
      <c r="P21" s="81">
        <f t="shared" ref="P21:P29" si="9">L21+M21+N21+O21</f>
        <v>80000</v>
      </c>
      <c r="Q21" s="81">
        <f t="shared" ref="Q21:R29" si="10">P21*1.1</f>
        <v>88000</v>
      </c>
      <c r="R21" s="81">
        <f t="shared" si="10"/>
        <v>96800.000000000015</v>
      </c>
      <c r="S21" s="77">
        <f t="shared" ref="S21:S29" si="11">P21+Q21+R21</f>
        <v>264800</v>
      </c>
    </row>
    <row r="22" spans="1:19" x14ac:dyDescent="0.3">
      <c r="B22" s="90">
        <v>3</v>
      </c>
      <c r="C22" s="90" t="s">
        <v>42</v>
      </c>
      <c r="D22" s="90"/>
      <c r="E22" s="91">
        <v>2</v>
      </c>
      <c r="F22" s="92">
        <v>30000</v>
      </c>
      <c r="G22" s="90">
        <v>12</v>
      </c>
      <c r="H22" s="90">
        <v>1</v>
      </c>
      <c r="I22" s="93">
        <f t="shared" si="4"/>
        <v>720000</v>
      </c>
      <c r="J22" s="94">
        <f t="shared" si="5"/>
        <v>13333.333333333334</v>
      </c>
      <c r="K22" s="3"/>
      <c r="L22" s="89">
        <f t="shared" si="7"/>
        <v>3333.3333333333335</v>
      </c>
      <c r="M22" s="89">
        <f t="shared" si="8"/>
        <v>3333.3333333333335</v>
      </c>
      <c r="N22" s="89">
        <f t="shared" si="8"/>
        <v>3333.3333333333335</v>
      </c>
      <c r="O22" s="89">
        <f t="shared" si="8"/>
        <v>3333.3333333333335</v>
      </c>
      <c r="P22" s="81">
        <f t="shared" si="9"/>
        <v>13333.333333333334</v>
      </c>
      <c r="Q22" s="81">
        <f t="shared" si="10"/>
        <v>14666.666666666668</v>
      </c>
      <c r="R22" s="81">
        <f t="shared" si="10"/>
        <v>16133.333333333336</v>
      </c>
      <c r="S22" s="77">
        <f t="shared" si="11"/>
        <v>44133.333333333336</v>
      </c>
    </row>
    <row r="23" spans="1:19" x14ac:dyDescent="0.3">
      <c r="B23" s="90">
        <v>4</v>
      </c>
      <c r="C23" s="90" t="s">
        <v>151</v>
      </c>
      <c r="D23" s="90"/>
      <c r="E23" s="91">
        <v>1</v>
      </c>
      <c r="F23" s="92">
        <v>130000</v>
      </c>
      <c r="G23" s="90">
        <v>12</v>
      </c>
      <c r="H23" s="90">
        <v>1</v>
      </c>
      <c r="I23" s="93">
        <f t="shared" si="4"/>
        <v>1560000</v>
      </c>
      <c r="J23" s="94">
        <f t="shared" si="5"/>
        <v>28888.888888888891</v>
      </c>
      <c r="K23" s="3"/>
      <c r="L23" s="89">
        <f t="shared" si="7"/>
        <v>7222.2222222222226</v>
      </c>
      <c r="M23" s="89">
        <f t="shared" si="8"/>
        <v>7222.2222222222226</v>
      </c>
      <c r="N23" s="89">
        <f t="shared" si="8"/>
        <v>7222.2222222222226</v>
      </c>
      <c r="O23" s="89">
        <f t="shared" si="8"/>
        <v>7222.2222222222226</v>
      </c>
      <c r="P23" s="81">
        <f t="shared" si="9"/>
        <v>28888.888888888891</v>
      </c>
      <c r="Q23" s="81">
        <f t="shared" si="10"/>
        <v>31777.777777777781</v>
      </c>
      <c r="R23" s="81">
        <f t="shared" si="10"/>
        <v>34955.555555555562</v>
      </c>
      <c r="S23" s="77">
        <f t="shared" si="11"/>
        <v>95622.222222222234</v>
      </c>
    </row>
    <row r="24" spans="1:19" x14ac:dyDescent="0.3">
      <c r="B24" s="90">
        <v>5</v>
      </c>
      <c r="C24" s="90" t="s">
        <v>152</v>
      </c>
      <c r="D24" s="90"/>
      <c r="E24" s="90">
        <v>2</v>
      </c>
      <c r="F24" s="92">
        <v>100000</v>
      </c>
      <c r="G24" s="90">
        <v>12</v>
      </c>
      <c r="H24" s="90">
        <v>1</v>
      </c>
      <c r="I24" s="93">
        <f t="shared" si="4"/>
        <v>2400000</v>
      </c>
      <c r="J24" s="93">
        <f t="shared" si="5"/>
        <v>44444.444444444445</v>
      </c>
      <c r="K24" s="3"/>
      <c r="L24" s="89">
        <f t="shared" si="7"/>
        <v>11111.111111111111</v>
      </c>
      <c r="M24" s="89">
        <f t="shared" si="8"/>
        <v>11111.111111111111</v>
      </c>
      <c r="N24" s="89">
        <f t="shared" si="8"/>
        <v>11111.111111111111</v>
      </c>
      <c r="O24" s="89">
        <f t="shared" si="8"/>
        <v>11111.111111111111</v>
      </c>
      <c r="P24" s="81">
        <f t="shared" si="9"/>
        <v>44444.444444444445</v>
      </c>
      <c r="Q24" s="81">
        <f t="shared" si="10"/>
        <v>48888.888888888891</v>
      </c>
      <c r="R24" s="81">
        <f t="shared" si="10"/>
        <v>53777.777777777781</v>
      </c>
      <c r="S24" s="77">
        <f t="shared" si="11"/>
        <v>147111.11111111112</v>
      </c>
    </row>
    <row r="25" spans="1:19" x14ac:dyDescent="0.3">
      <c r="B25" s="90">
        <v>6</v>
      </c>
      <c r="C25" s="90" t="s">
        <v>42</v>
      </c>
      <c r="D25" s="90"/>
      <c r="E25" s="91">
        <v>1</v>
      </c>
      <c r="F25" s="92">
        <v>30000</v>
      </c>
      <c r="G25" s="90">
        <v>12</v>
      </c>
      <c r="H25" s="90">
        <v>1</v>
      </c>
      <c r="I25" s="93">
        <f t="shared" si="4"/>
        <v>360000</v>
      </c>
      <c r="J25" s="93">
        <f t="shared" si="5"/>
        <v>6666.666666666667</v>
      </c>
      <c r="K25" s="3"/>
      <c r="L25" s="89">
        <f t="shared" si="7"/>
        <v>1666.6666666666667</v>
      </c>
      <c r="M25" s="89">
        <f t="shared" si="8"/>
        <v>1666.6666666666667</v>
      </c>
      <c r="N25" s="89">
        <f t="shared" si="8"/>
        <v>1666.6666666666667</v>
      </c>
      <c r="O25" s="89">
        <f t="shared" si="8"/>
        <v>1666.6666666666667</v>
      </c>
      <c r="P25" s="81">
        <f t="shared" si="9"/>
        <v>6666.666666666667</v>
      </c>
      <c r="Q25" s="81">
        <f t="shared" si="10"/>
        <v>7333.3333333333339</v>
      </c>
      <c r="R25" s="81">
        <f t="shared" si="10"/>
        <v>8066.6666666666679</v>
      </c>
      <c r="S25" s="77">
        <f t="shared" si="11"/>
        <v>22066.666666666668</v>
      </c>
    </row>
    <row r="26" spans="1:19" x14ac:dyDescent="0.3">
      <c r="B26" s="90">
        <v>7</v>
      </c>
      <c r="C26" s="90" t="s">
        <v>153</v>
      </c>
      <c r="D26" s="90"/>
      <c r="E26" s="90">
        <v>4</v>
      </c>
      <c r="F26" s="92">
        <v>50000</v>
      </c>
      <c r="G26" s="90">
        <v>12</v>
      </c>
      <c r="H26" s="90">
        <v>1</v>
      </c>
      <c r="I26" s="93">
        <f t="shared" si="4"/>
        <v>2400000</v>
      </c>
      <c r="J26" s="93">
        <f t="shared" si="5"/>
        <v>44444.444444444445</v>
      </c>
      <c r="K26" s="3"/>
      <c r="L26" s="89">
        <f t="shared" si="7"/>
        <v>11111.111111111111</v>
      </c>
      <c r="M26" s="89">
        <f t="shared" si="8"/>
        <v>11111.111111111111</v>
      </c>
      <c r="N26" s="89">
        <f t="shared" si="8"/>
        <v>11111.111111111111</v>
      </c>
      <c r="O26" s="89">
        <f t="shared" si="8"/>
        <v>11111.111111111111</v>
      </c>
      <c r="P26" s="81">
        <f t="shared" si="9"/>
        <v>44444.444444444445</v>
      </c>
      <c r="Q26" s="81">
        <f t="shared" si="10"/>
        <v>48888.888888888891</v>
      </c>
      <c r="R26" s="81">
        <f t="shared" si="10"/>
        <v>53777.777777777781</v>
      </c>
      <c r="S26" s="77">
        <f t="shared" si="11"/>
        <v>147111.11111111112</v>
      </c>
    </row>
    <row r="27" spans="1:19" x14ac:dyDescent="0.3">
      <c r="B27" s="90">
        <v>8</v>
      </c>
      <c r="C27" s="90" t="s">
        <v>154</v>
      </c>
      <c r="D27" s="90"/>
      <c r="E27" s="90">
        <v>1</v>
      </c>
      <c r="F27" s="92">
        <v>50000</v>
      </c>
      <c r="G27" s="90">
        <v>12</v>
      </c>
      <c r="H27" s="90">
        <v>1</v>
      </c>
      <c r="I27" s="93">
        <f t="shared" si="4"/>
        <v>600000</v>
      </c>
      <c r="J27" s="93">
        <f t="shared" si="5"/>
        <v>11111.111111111111</v>
      </c>
      <c r="K27" s="3"/>
      <c r="L27" s="89">
        <f t="shared" si="7"/>
        <v>2777.7777777777778</v>
      </c>
      <c r="M27" s="89">
        <f t="shared" si="8"/>
        <v>2777.7777777777778</v>
      </c>
      <c r="N27" s="89">
        <f t="shared" si="8"/>
        <v>2777.7777777777778</v>
      </c>
      <c r="O27" s="89">
        <f t="shared" si="8"/>
        <v>2777.7777777777778</v>
      </c>
      <c r="P27" s="81">
        <f t="shared" si="9"/>
        <v>11111.111111111111</v>
      </c>
      <c r="Q27" s="81">
        <f t="shared" si="10"/>
        <v>12222.222222222223</v>
      </c>
      <c r="R27" s="81">
        <f t="shared" si="10"/>
        <v>13444.444444444445</v>
      </c>
      <c r="S27" s="77">
        <f t="shared" si="11"/>
        <v>36777.777777777781</v>
      </c>
    </row>
    <row r="28" spans="1:19" ht="28.8" x14ac:dyDescent="0.3">
      <c r="B28" s="90">
        <v>9</v>
      </c>
      <c r="C28" s="90" t="s">
        <v>155</v>
      </c>
      <c r="D28" s="90"/>
      <c r="E28" s="90">
        <v>2</v>
      </c>
      <c r="F28" s="92">
        <v>50000</v>
      </c>
      <c r="G28" s="90">
        <v>12</v>
      </c>
      <c r="H28" s="90">
        <v>1</v>
      </c>
      <c r="I28" s="93">
        <f t="shared" si="4"/>
        <v>1200000</v>
      </c>
      <c r="J28" s="93">
        <f t="shared" si="5"/>
        <v>22222.222222222223</v>
      </c>
      <c r="K28" s="3"/>
      <c r="L28" s="89">
        <f t="shared" si="7"/>
        <v>5555.5555555555557</v>
      </c>
      <c r="M28" s="89">
        <f t="shared" si="8"/>
        <v>5555.5555555555557</v>
      </c>
      <c r="N28" s="89">
        <f t="shared" si="8"/>
        <v>5555.5555555555557</v>
      </c>
      <c r="O28" s="89">
        <f t="shared" si="8"/>
        <v>5555.5555555555557</v>
      </c>
      <c r="P28" s="81">
        <f t="shared" si="9"/>
        <v>22222.222222222223</v>
      </c>
      <c r="Q28" s="81">
        <f t="shared" si="10"/>
        <v>24444.444444444445</v>
      </c>
      <c r="R28" s="81">
        <f t="shared" si="10"/>
        <v>26888.888888888891</v>
      </c>
      <c r="S28" s="77">
        <f t="shared" si="11"/>
        <v>73555.555555555562</v>
      </c>
    </row>
    <row r="29" spans="1:19" s="95" customFormat="1" x14ac:dyDescent="0.3">
      <c r="B29" s="90">
        <v>10</v>
      </c>
      <c r="C29" s="90" t="s">
        <v>156</v>
      </c>
      <c r="D29" s="90"/>
      <c r="E29" s="90">
        <v>10</v>
      </c>
      <c r="F29" s="92">
        <v>2000</v>
      </c>
      <c r="G29" s="90">
        <v>12</v>
      </c>
      <c r="H29" s="90">
        <v>1</v>
      </c>
      <c r="I29" s="93">
        <f t="shared" si="4"/>
        <v>240000</v>
      </c>
      <c r="J29" s="93">
        <f t="shared" si="5"/>
        <v>4444.4444444444443</v>
      </c>
      <c r="K29" s="96"/>
      <c r="L29" s="89">
        <f t="shared" si="7"/>
        <v>1111.1111111111111</v>
      </c>
      <c r="M29" s="89">
        <f t="shared" si="8"/>
        <v>1111.1111111111111</v>
      </c>
      <c r="N29" s="89">
        <f t="shared" si="8"/>
        <v>1111.1111111111111</v>
      </c>
      <c r="O29" s="89">
        <f t="shared" si="8"/>
        <v>1111.1111111111111</v>
      </c>
      <c r="P29" s="81">
        <f t="shared" si="9"/>
        <v>4444.4444444444443</v>
      </c>
      <c r="Q29" s="81">
        <f t="shared" si="10"/>
        <v>4888.8888888888896</v>
      </c>
      <c r="R29" s="81">
        <f t="shared" si="10"/>
        <v>5377.7777777777792</v>
      </c>
      <c r="S29" s="77">
        <f t="shared" si="11"/>
        <v>14711.111111111113</v>
      </c>
    </row>
    <row r="30" spans="1:19" s="97" customFormat="1" x14ac:dyDescent="0.3">
      <c r="B30" s="98"/>
      <c r="C30" s="98" t="s">
        <v>56</v>
      </c>
      <c r="D30" s="98"/>
      <c r="E30" s="98"/>
      <c r="F30" s="98"/>
      <c r="G30" s="98"/>
      <c r="H30" s="98"/>
      <c r="I30" s="99">
        <f>SUM(I20:I29)</f>
        <v>15600000</v>
      </c>
      <c r="J30" s="99">
        <f>SUM(J20:J29)</f>
        <v>288888.88888888888</v>
      </c>
      <c r="K30" s="98"/>
      <c r="L30" s="100">
        <f>L20+L21+L22+L23+L24+L25+L26+L27+L28+L29</f>
        <v>72222.222222222219</v>
      </c>
      <c r="M30" s="100">
        <f t="shared" si="8"/>
        <v>72222.222222222219</v>
      </c>
      <c r="N30" s="100">
        <f t="shared" si="8"/>
        <v>72222.222222222219</v>
      </c>
      <c r="O30" s="100">
        <f t="shared" si="8"/>
        <v>72222.222222222219</v>
      </c>
      <c r="P30" s="100">
        <f>SUM(P20:P29)</f>
        <v>288888.88888888888</v>
      </c>
      <c r="Q30" s="100">
        <f t="shared" ref="Q30:S30" si="12">SUM(Q20:Q29)</f>
        <v>317777.77777777781</v>
      </c>
      <c r="R30" s="100">
        <f t="shared" si="12"/>
        <v>349555.55555555556</v>
      </c>
      <c r="S30" s="100">
        <f t="shared" si="12"/>
        <v>956222.22222222213</v>
      </c>
    </row>
    <row r="31" spans="1:19" x14ac:dyDescent="0.3">
      <c r="L31" s="778" t="s">
        <v>26</v>
      </c>
      <c r="M31" s="778"/>
      <c r="N31" s="778"/>
      <c r="O31" s="778"/>
      <c r="P31" s="84" t="str">
        <f>P17</f>
        <v>Year 1</v>
      </c>
      <c r="Q31" s="85" t="s">
        <v>27</v>
      </c>
      <c r="R31" s="85" t="s">
        <v>28</v>
      </c>
      <c r="S31" s="86" t="s">
        <v>9</v>
      </c>
    </row>
    <row r="32" spans="1:19" x14ac:dyDescent="0.3">
      <c r="A32" s="101"/>
      <c r="B32" s="791" t="s">
        <v>157</v>
      </c>
      <c r="C32" s="790"/>
      <c r="D32" s="790"/>
      <c r="E32" s="790"/>
      <c r="F32" s="790"/>
      <c r="G32" s="790"/>
      <c r="H32" s="790"/>
      <c r="I32" s="790"/>
      <c r="J32" s="790"/>
      <c r="L32" s="80" t="s">
        <v>36</v>
      </c>
      <c r="M32" s="80" t="s">
        <v>37</v>
      </c>
      <c r="N32" s="80" t="s">
        <v>38</v>
      </c>
      <c r="O32" s="80" t="s">
        <v>39</v>
      </c>
      <c r="P32" s="75" t="s">
        <v>9</v>
      </c>
      <c r="Q32" s="81" t="s">
        <v>9</v>
      </c>
      <c r="R32" s="81" t="s">
        <v>9</v>
      </c>
      <c r="S32" s="77"/>
    </row>
    <row r="33" spans="1:19" x14ac:dyDescent="0.3">
      <c r="A33" s="102"/>
      <c r="B33" s="103"/>
      <c r="C33" s="26" t="s">
        <v>4</v>
      </c>
      <c r="D33" s="26" t="s">
        <v>80</v>
      </c>
      <c r="E33" s="26" t="s">
        <v>158</v>
      </c>
      <c r="F33" s="26" t="s">
        <v>159</v>
      </c>
      <c r="G33" s="26" t="s">
        <v>160</v>
      </c>
      <c r="H33" s="27" t="s">
        <v>53</v>
      </c>
      <c r="I33" s="28" t="s">
        <v>65</v>
      </c>
      <c r="J33" s="28" t="s">
        <v>81</v>
      </c>
      <c r="L33" s="3"/>
      <c r="M33" s="3"/>
      <c r="N33" s="3"/>
      <c r="O33" s="3"/>
      <c r="P33" s="82"/>
      <c r="Q33" s="82"/>
      <c r="R33" s="82"/>
      <c r="S33" s="83"/>
    </row>
    <row r="34" spans="1:19" x14ac:dyDescent="0.3">
      <c r="A34" s="104"/>
      <c r="B34" s="105"/>
      <c r="C34" s="106"/>
      <c r="D34" s="107"/>
      <c r="E34" s="107"/>
      <c r="F34" s="107"/>
      <c r="G34" s="107"/>
      <c r="H34" s="108"/>
      <c r="I34" s="107"/>
      <c r="J34" s="107"/>
      <c r="L34" s="3"/>
      <c r="M34" s="3"/>
      <c r="N34" s="3"/>
      <c r="O34" s="3"/>
      <c r="P34" s="82"/>
      <c r="Q34" s="82"/>
      <c r="R34" s="82"/>
      <c r="S34" s="83"/>
    </row>
    <row r="35" spans="1:19" x14ac:dyDescent="0.3">
      <c r="A35" s="109"/>
      <c r="B35" s="110"/>
      <c r="C35" s="3" t="s">
        <v>87</v>
      </c>
      <c r="D35" s="3">
        <v>1</v>
      </c>
      <c r="E35" s="111">
        <v>20000</v>
      </c>
      <c r="F35" s="3">
        <v>2</v>
      </c>
      <c r="G35" s="3">
        <v>1</v>
      </c>
      <c r="H35" s="16">
        <v>1</v>
      </c>
      <c r="I35" s="24">
        <f t="shared" ref="I35:I38" si="13">D35*E35*F35*H35*G35</f>
        <v>40000</v>
      </c>
      <c r="J35" s="112">
        <f t="shared" ref="J35:J38" si="14">I35/54</f>
        <v>740.74074074074076</v>
      </c>
      <c r="L35" s="3"/>
      <c r="M35" s="3"/>
      <c r="N35" s="3"/>
      <c r="O35" s="112">
        <f>J35</f>
        <v>740.74074074074076</v>
      </c>
      <c r="P35" s="113">
        <f>L35+M35+N35+O35</f>
        <v>740.74074074074076</v>
      </c>
      <c r="Q35" s="113">
        <f>J35</f>
        <v>740.74074074074076</v>
      </c>
      <c r="R35" s="113">
        <f>J35</f>
        <v>740.74074074074076</v>
      </c>
      <c r="S35" s="114">
        <f>P35+Q35+R35</f>
        <v>2222.2222222222222</v>
      </c>
    </row>
    <row r="36" spans="1:19" x14ac:dyDescent="0.3">
      <c r="A36" s="109"/>
      <c r="B36" s="110"/>
      <c r="C36" s="3" t="s">
        <v>88</v>
      </c>
      <c r="D36" s="79">
        <v>1</v>
      </c>
      <c r="E36" s="111">
        <v>100000</v>
      </c>
      <c r="F36" s="3">
        <v>2</v>
      </c>
      <c r="G36" s="3">
        <v>1</v>
      </c>
      <c r="H36" s="16">
        <v>1</v>
      </c>
      <c r="I36" s="24">
        <f t="shared" si="13"/>
        <v>200000</v>
      </c>
      <c r="J36" s="112">
        <f t="shared" si="14"/>
        <v>3703.7037037037039</v>
      </c>
      <c r="L36" s="3"/>
      <c r="M36" s="3"/>
      <c r="N36" s="3"/>
      <c r="O36" s="112">
        <f t="shared" ref="O36:O38" si="15">J36</f>
        <v>3703.7037037037039</v>
      </c>
      <c r="P36" s="113">
        <f t="shared" ref="P36:P39" si="16">L36+M36+N36+O36</f>
        <v>3703.7037037037039</v>
      </c>
      <c r="Q36" s="113">
        <f t="shared" ref="Q36:Q39" si="17">J36</f>
        <v>3703.7037037037039</v>
      </c>
      <c r="R36" s="113">
        <f t="shared" ref="R36:R39" si="18">J36</f>
        <v>3703.7037037037039</v>
      </c>
      <c r="S36" s="114">
        <f t="shared" ref="S36:S39" si="19">P36+Q36+R36</f>
        <v>11111.111111111111</v>
      </c>
    </row>
    <row r="37" spans="1:19" x14ac:dyDescent="0.3">
      <c r="A37" s="109"/>
      <c r="B37" s="110"/>
      <c r="C37" s="3" t="s">
        <v>89</v>
      </c>
      <c r="D37" s="79">
        <v>2</v>
      </c>
      <c r="E37" s="111">
        <v>6500</v>
      </c>
      <c r="F37" s="3">
        <v>2</v>
      </c>
      <c r="G37" s="3">
        <v>2</v>
      </c>
      <c r="H37" s="16">
        <v>1</v>
      </c>
      <c r="I37" s="24">
        <f t="shared" si="13"/>
        <v>52000</v>
      </c>
      <c r="J37" s="112">
        <f t="shared" si="14"/>
        <v>962.96296296296293</v>
      </c>
      <c r="L37" s="3"/>
      <c r="M37" s="3"/>
      <c r="N37" s="3"/>
      <c r="O37" s="112">
        <f t="shared" si="15"/>
        <v>962.96296296296293</v>
      </c>
      <c r="P37" s="113">
        <f t="shared" si="16"/>
        <v>962.96296296296293</v>
      </c>
      <c r="Q37" s="113">
        <f t="shared" si="17"/>
        <v>962.96296296296293</v>
      </c>
      <c r="R37" s="113">
        <f t="shared" si="18"/>
        <v>962.96296296296293</v>
      </c>
      <c r="S37" s="114">
        <f t="shared" si="19"/>
        <v>2888.8888888888887</v>
      </c>
    </row>
    <row r="38" spans="1:19" x14ac:dyDescent="0.3">
      <c r="A38" s="109"/>
      <c r="B38" s="110"/>
      <c r="C38" s="3" t="s">
        <v>90</v>
      </c>
      <c r="D38" s="79">
        <v>1</v>
      </c>
      <c r="E38" s="111">
        <v>20000</v>
      </c>
      <c r="F38" s="3">
        <v>2</v>
      </c>
      <c r="G38" s="3">
        <v>9</v>
      </c>
      <c r="H38" s="16">
        <v>1</v>
      </c>
      <c r="I38" s="24">
        <f t="shared" si="13"/>
        <v>360000</v>
      </c>
      <c r="J38" s="112">
        <f t="shared" si="14"/>
        <v>6666.666666666667</v>
      </c>
      <c r="L38" s="3"/>
      <c r="M38" s="3"/>
      <c r="N38" s="3"/>
      <c r="O38" s="112">
        <f t="shared" si="15"/>
        <v>6666.666666666667</v>
      </c>
      <c r="P38" s="113">
        <f t="shared" si="16"/>
        <v>6666.666666666667</v>
      </c>
      <c r="Q38" s="113">
        <f t="shared" si="17"/>
        <v>6666.666666666667</v>
      </c>
      <c r="R38" s="113">
        <f t="shared" si="18"/>
        <v>6666.666666666667</v>
      </c>
      <c r="S38" s="114">
        <f t="shared" si="19"/>
        <v>20000</v>
      </c>
    </row>
    <row r="39" spans="1:19" x14ac:dyDescent="0.3">
      <c r="A39" s="102"/>
      <c r="B39" s="115"/>
      <c r="C39" s="116" t="s">
        <v>56</v>
      </c>
      <c r="D39" s="116"/>
      <c r="E39" s="117"/>
      <c r="F39" s="116"/>
      <c r="G39" s="116"/>
      <c r="H39" s="118"/>
      <c r="I39" s="119">
        <f>SUM(I35:I38)</f>
        <v>652000</v>
      </c>
      <c r="J39" s="119">
        <f>SUM(J35:J38)</f>
        <v>12074.074074074073</v>
      </c>
      <c r="K39" s="617"/>
      <c r="L39" s="18"/>
      <c r="M39" s="18"/>
      <c r="N39" s="18"/>
      <c r="O39" s="19">
        <f>O35+O36+O37+O38</f>
        <v>12074.074074074073</v>
      </c>
      <c r="P39" s="120">
        <f t="shared" si="16"/>
        <v>12074.074074074073</v>
      </c>
      <c r="Q39" s="120">
        <f t="shared" si="17"/>
        <v>12074.074074074073</v>
      </c>
      <c r="R39" s="120">
        <f t="shared" si="18"/>
        <v>12074.074074074073</v>
      </c>
      <c r="S39" s="120">
        <f t="shared" si="19"/>
        <v>36222.222222222219</v>
      </c>
    </row>
    <row r="40" spans="1:19" x14ac:dyDescent="0.3">
      <c r="L40" s="778" t="s">
        <v>26</v>
      </c>
      <c r="M40" s="778"/>
      <c r="N40" s="778"/>
      <c r="O40" s="778"/>
      <c r="P40" s="84" t="str">
        <f>P17</f>
        <v>Year 1</v>
      </c>
      <c r="Q40" s="85" t="s">
        <v>27</v>
      </c>
      <c r="R40" s="85" t="s">
        <v>28</v>
      </c>
      <c r="S40" s="86" t="s">
        <v>9</v>
      </c>
    </row>
    <row r="41" spans="1:19" ht="37.5" customHeight="1" x14ac:dyDescent="0.3">
      <c r="B41" s="777" t="s">
        <v>161</v>
      </c>
      <c r="C41" s="777"/>
      <c r="D41" s="777"/>
      <c r="E41" s="777"/>
      <c r="F41" s="777"/>
      <c r="G41" s="777"/>
      <c r="H41" s="777"/>
      <c r="I41" s="777"/>
      <c r="J41" s="777"/>
      <c r="L41" s="80" t="s">
        <v>36</v>
      </c>
      <c r="M41" s="80" t="s">
        <v>37</v>
      </c>
      <c r="N41" s="80" t="s">
        <v>38</v>
      </c>
      <c r="O41" s="80" t="s">
        <v>39</v>
      </c>
      <c r="P41" s="75" t="s">
        <v>9</v>
      </c>
      <c r="Q41" s="81" t="s">
        <v>9</v>
      </c>
      <c r="R41" s="81" t="s">
        <v>9</v>
      </c>
      <c r="S41" s="77"/>
    </row>
    <row r="42" spans="1:19" x14ac:dyDescent="0.3">
      <c r="B42" s="26"/>
      <c r="C42" s="26" t="s">
        <v>4</v>
      </c>
      <c r="D42" s="26" t="s">
        <v>80</v>
      </c>
      <c r="E42" s="26" t="s">
        <v>158</v>
      </c>
      <c r="F42" s="26" t="s">
        <v>159</v>
      </c>
      <c r="G42" s="26" t="s">
        <v>160</v>
      </c>
      <c r="H42" s="27" t="s">
        <v>53</v>
      </c>
      <c r="I42" s="28" t="s">
        <v>65</v>
      </c>
      <c r="J42" s="28" t="s">
        <v>81</v>
      </c>
      <c r="L42" s="3"/>
      <c r="M42" s="3"/>
      <c r="N42" s="3"/>
      <c r="O42" s="3"/>
      <c r="P42" s="82"/>
      <c r="Q42" s="82"/>
      <c r="R42" s="82"/>
      <c r="S42" s="83"/>
    </row>
    <row r="43" spans="1:19" x14ac:dyDescent="0.3">
      <c r="B43" s="106"/>
      <c r="C43" s="106"/>
      <c r="D43" s="107"/>
      <c r="E43" s="107"/>
      <c r="F43" s="107"/>
      <c r="G43" s="107"/>
      <c r="H43" s="108"/>
      <c r="I43" s="107"/>
      <c r="J43" s="107"/>
      <c r="L43" s="3"/>
      <c r="M43" s="3"/>
      <c r="N43" s="3"/>
      <c r="O43" s="3"/>
      <c r="P43" s="82"/>
      <c r="Q43" s="82"/>
      <c r="R43" s="82"/>
      <c r="S43" s="83"/>
    </row>
    <row r="44" spans="1:19" x14ac:dyDescent="0.3">
      <c r="B44" s="3"/>
      <c r="C44" s="3" t="s">
        <v>162</v>
      </c>
      <c r="D44" s="3">
        <v>1</v>
      </c>
      <c r="E44" s="111">
        <f>K99</f>
        <v>62437.5</v>
      </c>
      <c r="F44" s="3">
        <v>40</v>
      </c>
      <c r="G44" s="3">
        <v>1</v>
      </c>
      <c r="H44" s="16">
        <v>1</v>
      </c>
      <c r="I44" s="24">
        <f t="shared" ref="I44" si="20">D44*E44*F44*H44*G44</f>
        <v>2497500</v>
      </c>
      <c r="J44" s="112">
        <f t="shared" ref="J44" si="21">I44/54</f>
        <v>46250</v>
      </c>
      <c r="L44" s="3"/>
      <c r="M44" s="3"/>
      <c r="N44" s="3"/>
      <c r="O44" s="112">
        <f>J44</f>
        <v>46250</v>
      </c>
      <c r="P44" s="113">
        <f>L44+M44+N44+O44</f>
        <v>46250</v>
      </c>
      <c r="Q44" s="113">
        <f>J44</f>
        <v>46250</v>
      </c>
      <c r="R44" s="113">
        <f>J44</f>
        <v>46250</v>
      </c>
      <c r="S44" s="114">
        <f>P44+Q44+R44</f>
        <v>138750</v>
      </c>
    </row>
    <row r="45" spans="1:19" x14ac:dyDescent="0.3">
      <c r="B45" s="116"/>
      <c r="C45" s="116" t="s">
        <v>56</v>
      </c>
      <c r="D45" s="116"/>
      <c r="E45" s="117"/>
      <c r="F45" s="116"/>
      <c r="G45" s="116"/>
      <c r="H45" s="118"/>
      <c r="I45" s="119">
        <f>SUM(I44:I44)</f>
        <v>2497500</v>
      </c>
      <c r="J45" s="119">
        <f>SUM(J44:J44)</f>
        <v>46250</v>
      </c>
      <c r="L45" s="18"/>
      <c r="M45" s="18"/>
      <c r="N45" s="18"/>
      <c r="O45" s="19">
        <f>O44</f>
        <v>46250</v>
      </c>
      <c r="P45" s="120">
        <f t="shared" ref="P45" si="22">L45+M45+N45+O45</f>
        <v>46250</v>
      </c>
      <c r="Q45" s="120">
        <f>Q44</f>
        <v>46250</v>
      </c>
      <c r="R45" s="120">
        <f>R44</f>
        <v>46250</v>
      </c>
      <c r="S45" s="120">
        <f t="shared" ref="S45" si="23">P45+Q45+R45</f>
        <v>138750</v>
      </c>
    </row>
    <row r="47" spans="1:19" x14ac:dyDescent="0.3">
      <c r="L47" s="778" t="s">
        <v>26</v>
      </c>
      <c r="M47" s="778"/>
      <c r="N47" s="778"/>
      <c r="O47" s="778"/>
      <c r="P47" s="84" t="str">
        <f>P40</f>
        <v>Year 1</v>
      </c>
      <c r="Q47" s="85" t="s">
        <v>27</v>
      </c>
      <c r="R47" s="85" t="s">
        <v>28</v>
      </c>
      <c r="S47" s="86" t="s">
        <v>9</v>
      </c>
    </row>
    <row r="48" spans="1:19" x14ac:dyDescent="0.3">
      <c r="B48" s="777" t="s">
        <v>163</v>
      </c>
      <c r="C48" s="777"/>
      <c r="D48" s="777"/>
      <c r="E48" s="777"/>
      <c r="F48" s="777"/>
      <c r="G48" s="777"/>
      <c r="H48" s="777"/>
      <c r="I48" s="777"/>
      <c r="J48" s="777"/>
      <c r="L48" s="80" t="s">
        <v>36</v>
      </c>
      <c r="M48" s="80" t="s">
        <v>37</v>
      </c>
      <c r="N48" s="80" t="s">
        <v>38</v>
      </c>
      <c r="O48" s="80" t="s">
        <v>39</v>
      </c>
      <c r="P48" s="75" t="s">
        <v>9</v>
      </c>
      <c r="Q48" s="81" t="s">
        <v>9</v>
      </c>
      <c r="R48" s="81" t="s">
        <v>9</v>
      </c>
      <c r="S48" s="77"/>
    </row>
    <row r="49" spans="2:19" x14ac:dyDescent="0.3">
      <c r="B49" s="26"/>
      <c r="C49" s="26" t="s">
        <v>4</v>
      </c>
      <c r="D49" s="26" t="s">
        <v>80</v>
      </c>
      <c r="E49" s="26" t="s">
        <v>158</v>
      </c>
      <c r="F49" s="26" t="s">
        <v>159</v>
      </c>
      <c r="G49" s="26" t="s">
        <v>160</v>
      </c>
      <c r="H49" s="27" t="s">
        <v>53</v>
      </c>
      <c r="I49" s="28" t="s">
        <v>65</v>
      </c>
      <c r="J49" s="28" t="s">
        <v>81</v>
      </c>
      <c r="L49" s="3"/>
      <c r="M49" s="3"/>
      <c r="N49" s="3"/>
      <c r="O49" s="3"/>
      <c r="P49" s="82"/>
      <c r="Q49" s="82"/>
      <c r="R49" s="82"/>
      <c r="S49" s="83"/>
    </row>
    <row r="50" spans="2:19" x14ac:dyDescent="0.3">
      <c r="B50" s="106"/>
      <c r="C50" s="106"/>
      <c r="D50" s="107"/>
      <c r="E50" s="107"/>
      <c r="F50" s="107"/>
      <c r="G50" s="107"/>
      <c r="H50" s="108"/>
      <c r="I50" s="107"/>
      <c r="J50" s="107"/>
      <c r="L50" s="3"/>
      <c r="M50" s="3"/>
      <c r="N50" s="3"/>
      <c r="O50" s="3"/>
      <c r="P50" s="82"/>
      <c r="Q50" s="82"/>
      <c r="R50" s="82"/>
      <c r="S50" s="83"/>
    </row>
    <row r="51" spans="2:19" x14ac:dyDescent="0.3">
      <c r="B51" s="3"/>
      <c r="C51" s="3" t="s">
        <v>164</v>
      </c>
      <c r="D51" s="3">
        <v>1</v>
      </c>
      <c r="E51" s="111">
        <f>K123</f>
        <v>103250</v>
      </c>
      <c r="F51" s="3">
        <v>40</v>
      </c>
      <c r="G51" s="3">
        <v>1</v>
      </c>
      <c r="H51" s="16">
        <v>1</v>
      </c>
      <c r="I51" s="24">
        <f t="shared" ref="I51" si="24">D51*E51*F51*H51*G51</f>
        <v>4130000</v>
      </c>
      <c r="J51" s="112">
        <f t="shared" ref="J51" si="25">I51/54</f>
        <v>76481.481481481474</v>
      </c>
      <c r="L51" s="3"/>
      <c r="M51" s="3"/>
      <c r="N51" s="3"/>
      <c r="O51" s="24">
        <f>J51*2</f>
        <v>152962.96296296295</v>
      </c>
      <c r="P51" s="113">
        <f>L51+M51+N51+O51</f>
        <v>152962.96296296295</v>
      </c>
      <c r="Q51" s="113"/>
      <c r="R51" s="113"/>
      <c r="S51" s="114">
        <f>P51+Q51+R51</f>
        <v>152962.96296296295</v>
      </c>
    </row>
    <row r="52" spans="2:19" x14ac:dyDescent="0.3">
      <c r="B52" s="116"/>
      <c r="C52" s="116" t="s">
        <v>56</v>
      </c>
      <c r="D52" s="116"/>
      <c r="E52" s="117"/>
      <c r="F52" s="116"/>
      <c r="G52" s="116"/>
      <c r="H52" s="118"/>
      <c r="I52" s="119">
        <f>SUM(I51:I51)</f>
        <v>4130000</v>
      </c>
      <c r="J52" s="119">
        <f>SUM(J51:J51)</f>
        <v>76481.481481481474</v>
      </c>
      <c r="L52" s="18"/>
      <c r="M52" s="18"/>
      <c r="N52" s="18"/>
      <c r="O52" s="19">
        <f>O51</f>
        <v>152962.96296296295</v>
      </c>
      <c r="P52" s="120">
        <f t="shared" ref="P52" si="26">L52+M52+N52+O52</f>
        <v>152962.96296296295</v>
      </c>
      <c r="Q52" s="120">
        <f>Q51</f>
        <v>0</v>
      </c>
      <c r="R52" s="120">
        <f>R51</f>
        <v>0</v>
      </c>
      <c r="S52" s="120">
        <f t="shared" ref="S52" si="27">P52+Q52+R52</f>
        <v>152962.96296296295</v>
      </c>
    </row>
    <row r="54" spans="2:19" x14ac:dyDescent="0.3">
      <c r="L54" s="778" t="s">
        <v>26</v>
      </c>
      <c r="M54" s="778"/>
      <c r="N54" s="778"/>
      <c r="O54" s="778"/>
      <c r="P54" s="84" t="str">
        <f>P47</f>
        <v>Year 1</v>
      </c>
      <c r="Q54" s="85" t="s">
        <v>27</v>
      </c>
      <c r="R54" s="85" t="s">
        <v>28</v>
      </c>
      <c r="S54" s="86" t="s">
        <v>9</v>
      </c>
    </row>
    <row r="55" spans="2:19" x14ac:dyDescent="0.3">
      <c r="B55" s="777" t="s">
        <v>165</v>
      </c>
      <c r="C55" s="777"/>
      <c r="D55" s="777"/>
      <c r="E55" s="777"/>
      <c r="F55" s="777"/>
      <c r="G55" s="777"/>
      <c r="H55" s="777"/>
      <c r="I55" s="777"/>
      <c r="J55" s="777"/>
      <c r="L55" s="80" t="s">
        <v>36</v>
      </c>
      <c r="M55" s="80" t="s">
        <v>37</v>
      </c>
      <c r="N55" s="80" t="s">
        <v>38</v>
      </c>
      <c r="O55" s="80" t="s">
        <v>39</v>
      </c>
      <c r="P55" s="75" t="s">
        <v>9</v>
      </c>
      <c r="Q55" s="81" t="s">
        <v>9</v>
      </c>
      <c r="R55" s="81" t="s">
        <v>9</v>
      </c>
      <c r="S55" s="77"/>
    </row>
    <row r="56" spans="2:19" x14ac:dyDescent="0.3">
      <c r="B56" s="26"/>
      <c r="C56" s="26" t="s">
        <v>4</v>
      </c>
      <c r="D56" s="26" t="s">
        <v>80</v>
      </c>
      <c r="E56" s="26" t="s">
        <v>158</v>
      </c>
      <c r="F56" s="26" t="s">
        <v>159</v>
      </c>
      <c r="G56" s="26" t="s">
        <v>160</v>
      </c>
      <c r="H56" s="27" t="s">
        <v>53</v>
      </c>
      <c r="I56" s="28" t="s">
        <v>65</v>
      </c>
      <c r="J56" s="28" t="s">
        <v>81</v>
      </c>
      <c r="L56" s="3"/>
      <c r="M56" s="3"/>
      <c r="N56" s="3"/>
      <c r="O56" s="3"/>
      <c r="P56" s="82"/>
      <c r="Q56" s="82"/>
      <c r="R56" s="82"/>
      <c r="S56" s="83"/>
    </row>
    <row r="57" spans="2:19" x14ac:dyDescent="0.3">
      <c r="B57" s="106"/>
      <c r="C57" s="106"/>
      <c r="D57" s="107"/>
      <c r="E57" s="107"/>
      <c r="F57" s="107"/>
      <c r="G57" s="107"/>
      <c r="H57" s="108"/>
      <c r="I57" s="107"/>
      <c r="J57" s="107"/>
      <c r="L57" s="3"/>
      <c r="M57" s="3"/>
      <c r="N57" s="3"/>
      <c r="O57" s="3"/>
      <c r="P57" s="82"/>
      <c r="Q57" s="82"/>
      <c r="R57" s="82"/>
      <c r="S57" s="83"/>
    </row>
    <row r="58" spans="2:19" x14ac:dyDescent="0.3">
      <c r="B58" s="3"/>
      <c r="C58" s="3" t="s">
        <v>166</v>
      </c>
      <c r="D58" s="3">
        <v>1</v>
      </c>
      <c r="E58" s="111">
        <f>K147</f>
        <v>77250</v>
      </c>
      <c r="F58" s="3">
        <v>40</v>
      </c>
      <c r="G58" s="3">
        <v>1</v>
      </c>
      <c r="H58" s="16">
        <v>1</v>
      </c>
      <c r="I58" s="24">
        <f t="shared" ref="I58" si="28">D58*E58*F58*H58*G58</f>
        <v>3090000</v>
      </c>
      <c r="J58" s="112">
        <f t="shared" ref="J58" si="29">I58/54</f>
        <v>57222.222222222219</v>
      </c>
      <c r="L58" s="3"/>
      <c r="M58" s="3"/>
      <c r="N58" s="3"/>
      <c r="O58" s="24"/>
      <c r="P58" s="113">
        <f>L58+M58+N58+O58</f>
        <v>0</v>
      </c>
      <c r="Q58" s="113">
        <f>J58*18</f>
        <v>1030000</v>
      </c>
      <c r="R58" s="113"/>
      <c r="S58" s="114">
        <f>P58+Q58+R58</f>
        <v>1030000</v>
      </c>
    </row>
    <row r="59" spans="2:19" x14ac:dyDescent="0.3">
      <c r="B59" s="116"/>
      <c r="C59" s="116" t="s">
        <v>56</v>
      </c>
      <c r="D59" s="116"/>
      <c r="E59" s="117"/>
      <c r="F59" s="116"/>
      <c r="G59" s="116"/>
      <c r="H59" s="118"/>
      <c r="I59" s="119">
        <f>SUM(I58:I58)</f>
        <v>3090000</v>
      </c>
      <c r="J59" s="119">
        <f>SUM(J58:J58)</f>
        <v>57222.222222222219</v>
      </c>
      <c r="L59" s="18"/>
      <c r="M59" s="18"/>
      <c r="N59" s="18"/>
      <c r="O59" s="19">
        <f>O58</f>
        <v>0</v>
      </c>
      <c r="P59" s="120">
        <f t="shared" ref="P59" si="30">L59+M59+N59+O59</f>
        <v>0</v>
      </c>
      <c r="Q59" s="120">
        <f>Q58</f>
        <v>1030000</v>
      </c>
      <c r="R59" s="120">
        <f>R58</f>
        <v>0</v>
      </c>
      <c r="S59" s="120">
        <f t="shared" ref="S59" si="31">P59+Q59+R59</f>
        <v>1030000</v>
      </c>
    </row>
    <row r="61" spans="2:19" x14ac:dyDescent="0.3">
      <c r="L61" s="778" t="s">
        <v>26</v>
      </c>
      <c r="M61" s="778"/>
      <c r="N61" s="778"/>
      <c r="O61" s="778"/>
      <c r="P61" s="84" t="str">
        <f>P54</f>
        <v>Year 1</v>
      </c>
      <c r="Q61" s="85" t="s">
        <v>27</v>
      </c>
      <c r="R61" s="85" t="s">
        <v>28</v>
      </c>
      <c r="S61" s="86" t="s">
        <v>9</v>
      </c>
    </row>
    <row r="62" spans="2:19" x14ac:dyDescent="0.3">
      <c r="B62" s="777" t="s">
        <v>167</v>
      </c>
      <c r="C62" s="777"/>
      <c r="D62" s="777"/>
      <c r="E62" s="777"/>
      <c r="F62" s="777"/>
      <c r="G62" s="777"/>
      <c r="H62" s="777"/>
      <c r="I62" s="777"/>
      <c r="J62" s="777"/>
      <c r="L62" s="80" t="s">
        <v>36</v>
      </c>
      <c r="M62" s="80" t="s">
        <v>37</v>
      </c>
      <c r="N62" s="80" t="s">
        <v>38</v>
      </c>
      <c r="O62" s="80" t="s">
        <v>39</v>
      </c>
      <c r="P62" s="75" t="s">
        <v>9</v>
      </c>
      <c r="Q62" s="81" t="s">
        <v>9</v>
      </c>
      <c r="R62" s="81" t="s">
        <v>9</v>
      </c>
      <c r="S62" s="77"/>
    </row>
    <row r="63" spans="2:19" x14ac:dyDescent="0.3">
      <c r="B63" s="26"/>
      <c r="C63" s="26" t="s">
        <v>4</v>
      </c>
      <c r="D63" s="26" t="s">
        <v>80</v>
      </c>
      <c r="E63" s="26" t="s">
        <v>158</v>
      </c>
      <c r="F63" s="26" t="s">
        <v>159</v>
      </c>
      <c r="G63" s="26" t="s">
        <v>160</v>
      </c>
      <c r="H63" s="27" t="s">
        <v>53</v>
      </c>
      <c r="I63" s="28" t="s">
        <v>65</v>
      </c>
      <c r="J63" s="28" t="s">
        <v>81</v>
      </c>
      <c r="L63" s="3"/>
      <c r="M63" s="3"/>
      <c r="N63" s="3"/>
      <c r="O63" s="3"/>
      <c r="P63" s="82"/>
      <c r="Q63" s="82"/>
      <c r="R63" s="82"/>
      <c r="S63" s="83"/>
    </row>
    <row r="64" spans="2:19" x14ac:dyDescent="0.3">
      <c r="B64" s="106"/>
      <c r="C64" s="106"/>
      <c r="D64" s="107"/>
      <c r="E64" s="107"/>
      <c r="F64" s="107"/>
      <c r="G64" s="107"/>
      <c r="H64" s="108"/>
      <c r="I64" s="107"/>
      <c r="J64" s="107"/>
      <c r="L64" s="3"/>
      <c r="M64" s="3"/>
      <c r="N64" s="3"/>
      <c r="O64" s="3"/>
      <c r="P64" s="82"/>
      <c r="Q64" s="82"/>
      <c r="R64" s="82"/>
      <c r="S64" s="83"/>
    </row>
    <row r="65" spans="1:19" x14ac:dyDescent="0.3">
      <c r="B65" s="3"/>
      <c r="C65" s="3" t="s">
        <v>166</v>
      </c>
      <c r="D65" s="3">
        <v>1</v>
      </c>
      <c r="E65" s="111">
        <f>K171</f>
        <v>37650</v>
      </c>
      <c r="F65" s="3">
        <v>40</v>
      </c>
      <c r="G65" s="3">
        <v>1</v>
      </c>
      <c r="H65" s="16">
        <v>1</v>
      </c>
      <c r="I65" s="24">
        <f t="shared" ref="I65" si="32">D65*E65*F65*H65*G65</f>
        <v>1506000</v>
      </c>
      <c r="J65" s="112">
        <f t="shared" ref="J65" si="33">I65/54</f>
        <v>27888.888888888891</v>
      </c>
      <c r="L65" s="3"/>
      <c r="M65" s="3"/>
      <c r="N65" s="3"/>
      <c r="O65" s="24">
        <f>J65*1</f>
        <v>27888.888888888891</v>
      </c>
      <c r="P65" s="113">
        <f>L65+M65+N65+O65</f>
        <v>27888.888888888891</v>
      </c>
      <c r="Q65" s="121">
        <f>J65*8</f>
        <v>223111.11111111112</v>
      </c>
      <c r="R65" s="113"/>
      <c r="S65" s="114">
        <f>P65+Q65+R65</f>
        <v>251000</v>
      </c>
    </row>
    <row r="66" spans="1:19" x14ac:dyDescent="0.3">
      <c r="B66" s="116"/>
      <c r="C66" s="116" t="s">
        <v>56</v>
      </c>
      <c r="D66" s="116"/>
      <c r="E66" s="117"/>
      <c r="F66" s="116"/>
      <c r="G66" s="116"/>
      <c r="H66" s="118"/>
      <c r="I66" s="119">
        <f>SUM(I65:I65)</f>
        <v>1506000</v>
      </c>
      <c r="J66" s="119">
        <f>SUM(J65:J65)</f>
        <v>27888.888888888891</v>
      </c>
      <c r="L66" s="18"/>
      <c r="M66" s="18"/>
      <c r="N66" s="18"/>
      <c r="O66" s="19">
        <f>O65</f>
        <v>27888.888888888891</v>
      </c>
      <c r="P66" s="120">
        <f t="shared" ref="P66" si="34">L66+M66+N66+O66</f>
        <v>27888.888888888891</v>
      </c>
      <c r="Q66" s="120">
        <f>Q65</f>
        <v>223111.11111111112</v>
      </c>
      <c r="R66" s="120">
        <f>R65</f>
        <v>0</v>
      </c>
      <c r="S66" s="120">
        <f t="shared" ref="S66" si="35">P66+Q66+R66</f>
        <v>251000</v>
      </c>
    </row>
    <row r="67" spans="1:19" s="148" customFormat="1" x14ac:dyDescent="0.3">
      <c r="B67" s="373"/>
      <c r="C67" s="373"/>
      <c r="D67" s="373"/>
      <c r="E67" s="355"/>
      <c r="F67" s="373"/>
      <c r="G67" s="373"/>
      <c r="H67" s="374"/>
      <c r="I67" s="375"/>
      <c r="J67" s="375"/>
      <c r="L67" s="41"/>
      <c r="M67" s="41"/>
      <c r="N67" s="41"/>
      <c r="O67" s="376"/>
      <c r="P67" s="377"/>
      <c r="Q67" s="377"/>
      <c r="R67" s="377"/>
      <c r="S67" s="377"/>
    </row>
    <row r="68" spans="1:19" s="148" customFormat="1" x14ac:dyDescent="0.3">
      <c r="B68" s="779" t="s">
        <v>59</v>
      </c>
      <c r="C68" s="780"/>
      <c r="D68" s="780"/>
      <c r="E68" s="780"/>
      <c r="F68" s="780"/>
      <c r="G68" s="780"/>
      <c r="H68" s="780"/>
      <c r="I68" s="780"/>
      <c r="J68" s="781"/>
      <c r="L68" s="782" t="s">
        <v>26</v>
      </c>
      <c r="M68" s="782"/>
      <c r="N68" s="782"/>
      <c r="O68" s="782"/>
      <c r="P68" s="75" t="str">
        <f>P61</f>
        <v>Year 1</v>
      </c>
      <c r="Q68" s="76" t="s">
        <v>27</v>
      </c>
      <c r="R68" s="76" t="s">
        <v>28</v>
      </c>
      <c r="S68" s="77" t="s">
        <v>9</v>
      </c>
    </row>
    <row r="69" spans="1:19" s="148" customFormat="1" x14ac:dyDescent="0.3">
      <c r="B69" s="378"/>
      <c r="C69" s="378"/>
      <c r="D69" s="378"/>
      <c r="E69" s="356"/>
      <c r="F69" s="378"/>
      <c r="G69" s="378"/>
      <c r="H69" s="379"/>
      <c r="I69" s="380"/>
      <c r="J69" s="380"/>
      <c r="L69" s="80" t="s">
        <v>36</v>
      </c>
      <c r="M69" s="80" t="s">
        <v>37</v>
      </c>
      <c r="N69" s="80" t="s">
        <v>38</v>
      </c>
      <c r="O69" s="80" t="s">
        <v>39</v>
      </c>
      <c r="P69" s="75" t="s">
        <v>9</v>
      </c>
      <c r="Q69" s="81" t="s">
        <v>9</v>
      </c>
      <c r="R69" s="81" t="s">
        <v>9</v>
      </c>
      <c r="S69" s="77"/>
    </row>
    <row r="70" spans="1:19" s="148" customFormat="1" x14ac:dyDescent="0.3">
      <c r="B70" s="378" t="str">
        <f>B3</f>
        <v>1.2.1</v>
      </c>
      <c r="C70" s="378" t="str">
        <f>C3</f>
        <v>Establish the NCCVMRC at NIHFW, Delhi and NCCTC at Pune</v>
      </c>
      <c r="D70" s="378"/>
      <c r="E70" s="356"/>
      <c r="F70" s="378"/>
      <c r="G70" s="378"/>
      <c r="H70" s="379"/>
      <c r="I70" s="380"/>
      <c r="J70" s="380"/>
      <c r="L70" s="381">
        <f>L30+L39+L45</f>
        <v>72222.222222222219</v>
      </c>
      <c r="M70" s="381">
        <f t="shared" ref="M70:S70" si="36">M30+M39+M45</f>
        <v>72222.222222222219</v>
      </c>
      <c r="N70" s="381">
        <f t="shared" si="36"/>
        <v>72222.222222222219</v>
      </c>
      <c r="O70" s="381">
        <f t="shared" si="36"/>
        <v>130546.29629629629</v>
      </c>
      <c r="P70" s="381">
        <f t="shared" si="36"/>
        <v>347212.96296296292</v>
      </c>
      <c r="Q70" s="381">
        <f t="shared" si="36"/>
        <v>376101.85185185191</v>
      </c>
      <c r="R70" s="381">
        <f t="shared" si="36"/>
        <v>407879.62962962966</v>
      </c>
      <c r="S70" s="381">
        <f t="shared" si="36"/>
        <v>1131194.4444444445</v>
      </c>
    </row>
    <row r="71" spans="1:19" s="148" customFormat="1" x14ac:dyDescent="0.3">
      <c r="B71" s="378" t="str">
        <f>B4</f>
        <v>1.2.2</v>
      </c>
      <c r="C71" s="378" t="str">
        <f>C4</f>
        <v>Train and Equip the UIP staff</v>
      </c>
      <c r="D71" s="378"/>
      <c r="E71" s="356"/>
      <c r="F71" s="378"/>
      <c r="G71" s="378"/>
      <c r="H71" s="379"/>
      <c r="I71" s="380"/>
      <c r="J71" s="380"/>
      <c r="L71" s="147">
        <f>L52+L59+L66</f>
        <v>0</v>
      </c>
      <c r="M71" s="147">
        <f t="shared" ref="M71:S71" si="37">M52+M59+M66</f>
        <v>0</v>
      </c>
      <c r="N71" s="147">
        <f t="shared" si="37"/>
        <v>0</v>
      </c>
      <c r="O71" s="147">
        <f t="shared" si="37"/>
        <v>180851.85185185185</v>
      </c>
      <c r="P71" s="147">
        <f t="shared" si="37"/>
        <v>180851.85185185185</v>
      </c>
      <c r="Q71" s="147">
        <f t="shared" si="37"/>
        <v>1253111.111111111</v>
      </c>
      <c r="R71" s="147">
        <f t="shared" si="37"/>
        <v>0</v>
      </c>
      <c r="S71" s="147">
        <f t="shared" si="37"/>
        <v>1433962.9629629629</v>
      </c>
    </row>
    <row r="72" spans="1:19" s="148" customFormat="1" x14ac:dyDescent="0.3">
      <c r="B72" s="378"/>
      <c r="C72" s="378"/>
      <c r="D72" s="378"/>
      <c r="E72" s="356"/>
      <c r="F72" s="378"/>
      <c r="G72" s="378"/>
      <c r="H72" s="379"/>
      <c r="I72" s="380"/>
      <c r="J72" s="380"/>
      <c r="L72" s="79"/>
      <c r="M72" s="79"/>
      <c r="N72" s="79"/>
      <c r="O72" s="381"/>
      <c r="P72" s="382"/>
      <c r="Q72" s="382"/>
      <c r="R72" s="382"/>
      <c r="S72" s="382"/>
    </row>
    <row r="73" spans="1:19" s="148" customFormat="1" x14ac:dyDescent="0.3">
      <c r="B73" s="378"/>
      <c r="C73" s="378"/>
      <c r="D73" s="378"/>
      <c r="E73" s="356"/>
      <c r="F73" s="378"/>
      <c r="G73" s="378"/>
      <c r="H73" s="379"/>
      <c r="I73" s="380"/>
      <c r="J73" s="380"/>
      <c r="L73" s="79"/>
      <c r="M73" s="79"/>
      <c r="N73" s="79"/>
      <c r="O73" s="381"/>
      <c r="P73" s="382"/>
      <c r="Q73" s="382"/>
      <c r="R73" s="382"/>
      <c r="S73" s="382"/>
    </row>
    <row r="75" spans="1:19" x14ac:dyDescent="0.3">
      <c r="B75" s="783" t="s">
        <v>61</v>
      </c>
      <c r="C75" s="783"/>
      <c r="D75" s="783"/>
      <c r="E75" s="783"/>
      <c r="F75" s="783"/>
      <c r="G75" s="783"/>
      <c r="H75" s="783"/>
      <c r="I75" s="783"/>
      <c r="J75" s="783"/>
    </row>
    <row r="77" spans="1:19" x14ac:dyDescent="0.3">
      <c r="A77" s="772" t="s">
        <v>168</v>
      </c>
      <c r="B77" s="773"/>
      <c r="C77" s="773"/>
      <c r="D77" s="773"/>
      <c r="E77" s="773"/>
      <c r="F77" s="773"/>
      <c r="G77" s="773"/>
      <c r="H77" s="773"/>
      <c r="I77" s="773"/>
      <c r="J77" s="773"/>
    </row>
    <row r="78" spans="1:19" x14ac:dyDescent="0.3">
      <c r="A78" s="26"/>
      <c r="B78" s="26"/>
      <c r="C78" s="26" t="s">
        <v>4</v>
      </c>
      <c r="D78" s="26" t="s">
        <v>79</v>
      </c>
      <c r="E78" s="26" t="s">
        <v>80</v>
      </c>
      <c r="F78" s="26" t="s">
        <v>50</v>
      </c>
      <c r="G78" s="26" t="s">
        <v>57</v>
      </c>
      <c r="H78" s="27" t="s">
        <v>53</v>
      </c>
      <c r="I78" s="28" t="s">
        <v>65</v>
      </c>
      <c r="J78" s="28" t="s">
        <v>81</v>
      </c>
    </row>
    <row r="79" spans="1:19" x14ac:dyDescent="0.3">
      <c r="A79" s="774" t="s">
        <v>169</v>
      </c>
      <c r="B79" s="775"/>
      <c r="C79" s="775"/>
      <c r="D79" s="776"/>
      <c r="E79" s="107"/>
      <c r="F79" s="107"/>
      <c r="G79" s="107"/>
      <c r="H79" s="108"/>
      <c r="I79" s="107"/>
      <c r="J79" s="107"/>
    </row>
    <row r="80" spans="1:19" x14ac:dyDescent="0.3">
      <c r="A80" s="3">
        <v>1</v>
      </c>
      <c r="B80" s="3" t="s">
        <v>170</v>
      </c>
      <c r="C80" s="3"/>
      <c r="D80" s="3"/>
      <c r="E80" s="3"/>
      <c r="F80" s="3"/>
      <c r="G80" s="3"/>
      <c r="H80" s="16"/>
      <c r="I80" s="3"/>
      <c r="J80" s="3"/>
    </row>
    <row r="81" spans="1:12" x14ac:dyDescent="0.3">
      <c r="A81" s="3"/>
      <c r="B81" s="3" t="s">
        <v>84</v>
      </c>
      <c r="C81" s="3"/>
      <c r="D81" s="3" t="s">
        <v>85</v>
      </c>
      <c r="E81" s="3">
        <v>3</v>
      </c>
      <c r="F81" s="111">
        <v>15000</v>
      </c>
      <c r="G81" s="3">
        <v>3</v>
      </c>
      <c r="H81" s="16">
        <v>1</v>
      </c>
      <c r="I81" s="24">
        <f>E81*F81*G81*H81</f>
        <v>135000</v>
      </c>
      <c r="J81" s="112">
        <f>I81/54</f>
        <v>2500</v>
      </c>
    </row>
    <row r="82" spans="1:12" x14ac:dyDescent="0.3">
      <c r="A82" s="3"/>
      <c r="B82" s="3" t="s">
        <v>86</v>
      </c>
      <c r="C82" s="3" t="s">
        <v>87</v>
      </c>
      <c r="D82" s="3"/>
      <c r="E82" s="3"/>
      <c r="F82" s="111"/>
      <c r="G82" s="3"/>
      <c r="H82" s="16"/>
      <c r="I82" s="3"/>
      <c r="J82" s="112">
        <f t="shared" ref="J82:J86" si="38">I82/54</f>
        <v>0</v>
      </c>
    </row>
    <row r="83" spans="1:12" x14ac:dyDescent="0.3">
      <c r="A83" s="3"/>
      <c r="B83" s="3"/>
      <c r="C83" s="3" t="s">
        <v>88</v>
      </c>
      <c r="D83" s="3"/>
      <c r="E83" s="79">
        <v>3</v>
      </c>
      <c r="F83" s="111">
        <v>20000</v>
      </c>
      <c r="G83" s="3">
        <v>1</v>
      </c>
      <c r="H83" s="16">
        <v>1</v>
      </c>
      <c r="I83" s="24">
        <f>E83*F83*G83*H83</f>
        <v>60000</v>
      </c>
      <c r="J83" s="112">
        <f t="shared" si="38"/>
        <v>1111.1111111111111</v>
      </c>
    </row>
    <row r="84" spans="1:12" x14ac:dyDescent="0.3">
      <c r="A84" s="3"/>
      <c r="B84" s="3"/>
      <c r="C84" s="3" t="s">
        <v>89</v>
      </c>
      <c r="D84" s="3"/>
      <c r="E84" s="79">
        <v>3</v>
      </c>
      <c r="F84" s="111">
        <v>2500</v>
      </c>
      <c r="G84" s="3">
        <v>3</v>
      </c>
      <c r="H84" s="16">
        <v>1</v>
      </c>
      <c r="I84" s="24">
        <f>E84*F84*G84*H84</f>
        <v>22500</v>
      </c>
      <c r="J84" s="112">
        <f t="shared" si="38"/>
        <v>416.66666666666669</v>
      </c>
    </row>
    <row r="85" spans="1:12" x14ac:dyDescent="0.3">
      <c r="A85" s="3"/>
      <c r="B85" s="3"/>
      <c r="C85" s="3" t="s">
        <v>90</v>
      </c>
      <c r="D85" s="3"/>
      <c r="E85" s="79">
        <v>3</v>
      </c>
      <c r="F85" s="111">
        <v>10000</v>
      </c>
      <c r="G85" s="3">
        <v>3</v>
      </c>
      <c r="H85" s="16">
        <v>1</v>
      </c>
      <c r="I85" s="24">
        <f>E85*F85*G85*H85</f>
        <v>90000</v>
      </c>
      <c r="J85" s="112">
        <f t="shared" si="38"/>
        <v>1666.6666666666667</v>
      </c>
    </row>
    <row r="86" spans="1:12" x14ac:dyDescent="0.3">
      <c r="A86" s="3"/>
      <c r="B86" s="3"/>
      <c r="C86" s="3"/>
      <c r="D86" s="82" t="s">
        <v>10</v>
      </c>
      <c r="E86" s="82"/>
      <c r="F86" s="122"/>
      <c r="G86" s="82"/>
      <c r="H86" s="123"/>
      <c r="I86" s="121">
        <f>SUM(I81:I85)</f>
        <v>307500</v>
      </c>
      <c r="J86" s="121">
        <f t="shared" si="38"/>
        <v>5694.4444444444443</v>
      </c>
    </row>
    <row r="87" spans="1:12" x14ac:dyDescent="0.3">
      <c r="A87" s="96"/>
      <c r="B87" s="96"/>
      <c r="C87" s="96"/>
      <c r="D87" s="96"/>
      <c r="E87" s="96"/>
      <c r="F87" s="124"/>
      <c r="G87" s="96"/>
      <c r="H87" s="125"/>
      <c r="I87" s="126"/>
      <c r="J87" s="96"/>
      <c r="K87" s="95"/>
      <c r="L87" s="95"/>
    </row>
    <row r="88" spans="1:12" x14ac:dyDescent="0.3">
      <c r="A88" s="769" t="s">
        <v>91</v>
      </c>
      <c r="B88" s="770"/>
      <c r="C88" s="770"/>
      <c r="D88" s="771"/>
      <c r="E88" s="127"/>
      <c r="F88" s="128"/>
      <c r="G88" s="127"/>
      <c r="H88" s="129"/>
      <c r="I88" s="127"/>
      <c r="J88" s="127"/>
    </row>
    <row r="89" spans="1:12" x14ac:dyDescent="0.3">
      <c r="A89" s="3"/>
      <c r="B89" s="3" t="s">
        <v>92</v>
      </c>
      <c r="C89" s="3" t="s">
        <v>93</v>
      </c>
      <c r="D89" s="3"/>
      <c r="E89" s="3">
        <v>40</v>
      </c>
      <c r="F89" s="111">
        <v>2000</v>
      </c>
      <c r="G89" s="3">
        <v>2</v>
      </c>
      <c r="H89" s="16">
        <v>1</v>
      </c>
      <c r="I89" s="24">
        <f t="shared" ref="I89:I96" si="39">E89*F89*G89*H89</f>
        <v>160000</v>
      </c>
      <c r="J89" s="24">
        <f>I89/54</f>
        <v>2962.962962962963</v>
      </c>
    </row>
    <row r="90" spans="1:12" x14ac:dyDescent="0.3">
      <c r="A90" s="3"/>
      <c r="B90" s="3" t="s">
        <v>86</v>
      </c>
      <c r="C90" s="3" t="s">
        <v>94</v>
      </c>
      <c r="D90" s="3"/>
      <c r="E90" s="3">
        <v>30</v>
      </c>
      <c r="F90" s="111">
        <v>20000</v>
      </c>
      <c r="G90" s="3">
        <v>1</v>
      </c>
      <c r="H90" s="16">
        <v>1</v>
      </c>
      <c r="I90" s="24">
        <f t="shared" si="39"/>
        <v>600000</v>
      </c>
      <c r="J90" s="24">
        <f t="shared" ref="J90:J96" si="40">I90/54</f>
        <v>11111.111111111111</v>
      </c>
    </row>
    <row r="91" spans="1:12" x14ac:dyDescent="0.3">
      <c r="A91" s="3"/>
      <c r="B91" s="3" t="s">
        <v>95</v>
      </c>
      <c r="C91" s="3" t="s">
        <v>96</v>
      </c>
      <c r="D91" s="3"/>
      <c r="E91" s="3">
        <v>30</v>
      </c>
      <c r="F91" s="111">
        <v>10000</v>
      </c>
      <c r="G91" s="3">
        <v>3</v>
      </c>
      <c r="H91" s="16">
        <v>1</v>
      </c>
      <c r="I91" s="24">
        <f t="shared" si="39"/>
        <v>900000</v>
      </c>
      <c r="J91" s="24">
        <f t="shared" si="40"/>
        <v>16666.666666666668</v>
      </c>
    </row>
    <row r="92" spans="1:12" x14ac:dyDescent="0.3">
      <c r="A92" s="3"/>
      <c r="B92" s="3" t="s">
        <v>97</v>
      </c>
      <c r="C92" s="3" t="s">
        <v>171</v>
      </c>
      <c r="D92" s="3" t="s">
        <v>172</v>
      </c>
      <c r="E92" s="3">
        <v>40</v>
      </c>
      <c r="F92" s="111">
        <v>2500</v>
      </c>
      <c r="G92" s="3">
        <v>3</v>
      </c>
      <c r="H92" s="16">
        <v>1</v>
      </c>
      <c r="I92" s="24">
        <f t="shared" si="39"/>
        <v>300000</v>
      </c>
      <c r="J92" s="24">
        <f t="shared" si="40"/>
        <v>5555.5555555555557</v>
      </c>
    </row>
    <row r="93" spans="1:12" x14ac:dyDescent="0.3">
      <c r="A93" s="3"/>
      <c r="B93" s="3" t="s">
        <v>99</v>
      </c>
      <c r="C93" s="3" t="s">
        <v>100</v>
      </c>
      <c r="D93" s="3"/>
      <c r="E93" s="3">
        <v>1</v>
      </c>
      <c r="F93" s="111">
        <v>45000</v>
      </c>
      <c r="G93" s="3">
        <v>2</v>
      </c>
      <c r="H93" s="16">
        <v>1</v>
      </c>
      <c r="I93" s="24">
        <f t="shared" si="39"/>
        <v>90000</v>
      </c>
      <c r="J93" s="24">
        <f t="shared" si="40"/>
        <v>1666.6666666666667</v>
      </c>
    </row>
    <row r="94" spans="1:12" x14ac:dyDescent="0.3">
      <c r="A94" s="3"/>
      <c r="B94" s="3" t="s">
        <v>101</v>
      </c>
      <c r="C94" s="3" t="s">
        <v>102</v>
      </c>
      <c r="D94" s="3"/>
      <c r="E94" s="3">
        <v>1</v>
      </c>
      <c r="F94" s="111">
        <v>25000</v>
      </c>
      <c r="G94" s="3">
        <v>2</v>
      </c>
      <c r="H94" s="16">
        <v>1</v>
      </c>
      <c r="I94" s="24">
        <f t="shared" si="39"/>
        <v>50000</v>
      </c>
      <c r="J94" s="24">
        <f t="shared" si="40"/>
        <v>925.92592592592598</v>
      </c>
    </row>
    <row r="95" spans="1:12" x14ac:dyDescent="0.3">
      <c r="A95" s="3"/>
      <c r="B95" s="3" t="s">
        <v>103</v>
      </c>
      <c r="C95" s="3" t="s">
        <v>104</v>
      </c>
      <c r="D95" s="3" t="s">
        <v>105</v>
      </c>
      <c r="E95" s="3">
        <v>1</v>
      </c>
      <c r="F95" s="111">
        <v>25000</v>
      </c>
      <c r="G95" s="3">
        <v>2</v>
      </c>
      <c r="H95" s="16">
        <v>1</v>
      </c>
      <c r="I95" s="24">
        <f t="shared" si="39"/>
        <v>50000</v>
      </c>
      <c r="J95" s="24">
        <f t="shared" si="40"/>
        <v>925.92592592592598</v>
      </c>
    </row>
    <row r="96" spans="1:12" x14ac:dyDescent="0.3">
      <c r="A96" s="3"/>
      <c r="B96" s="3" t="s">
        <v>106</v>
      </c>
      <c r="C96" s="3" t="s">
        <v>107</v>
      </c>
      <c r="D96" s="3"/>
      <c r="E96" s="3">
        <v>40</v>
      </c>
      <c r="F96" s="111">
        <v>500</v>
      </c>
      <c r="G96" s="3">
        <v>2</v>
      </c>
      <c r="H96" s="16">
        <v>1</v>
      </c>
      <c r="I96" s="24">
        <f t="shared" si="39"/>
        <v>40000</v>
      </c>
      <c r="J96" s="24">
        <f t="shared" si="40"/>
        <v>740.74074074074076</v>
      </c>
    </row>
    <row r="97" spans="1:12" x14ac:dyDescent="0.3">
      <c r="A97" s="3"/>
      <c r="B97" s="3"/>
      <c r="C97" s="3"/>
      <c r="D97" s="82" t="s">
        <v>10</v>
      </c>
      <c r="E97" s="82"/>
      <c r="F97" s="122"/>
      <c r="G97" s="82"/>
      <c r="H97" s="123"/>
      <c r="I97" s="121">
        <f>SUM(I89:I96)</f>
        <v>2190000</v>
      </c>
      <c r="J97" s="121">
        <f>SUM(J89:J96)</f>
        <v>40555.555555555555</v>
      </c>
    </row>
    <row r="98" spans="1:12" x14ac:dyDescent="0.3">
      <c r="A98" s="3"/>
      <c r="B98" s="3"/>
      <c r="C98" s="3"/>
      <c r="D98" s="3"/>
      <c r="E98" s="3"/>
      <c r="F98" s="3"/>
      <c r="G98" s="3"/>
      <c r="H98" s="16"/>
      <c r="I98" s="3"/>
      <c r="J98" s="3"/>
      <c r="K98" s="130"/>
      <c r="L98" s="130"/>
    </row>
    <row r="99" spans="1:12" x14ac:dyDescent="0.3">
      <c r="A99" s="3"/>
      <c r="B99" s="3"/>
      <c r="C99" s="3"/>
      <c r="D99" s="83" t="s">
        <v>19</v>
      </c>
      <c r="E99" s="83"/>
      <c r="F99" s="83"/>
      <c r="G99" s="83"/>
      <c r="H99" s="131"/>
      <c r="I99" s="132">
        <f>I86+I97</f>
        <v>2497500</v>
      </c>
      <c r="J99" s="132">
        <f>J86+J97</f>
        <v>46250</v>
      </c>
      <c r="K99" s="130">
        <f>I99/40</f>
        <v>62437.5</v>
      </c>
      <c r="L99" s="130">
        <f>J99/40</f>
        <v>1156.25</v>
      </c>
    </row>
    <row r="101" spans="1:12" x14ac:dyDescent="0.3">
      <c r="A101" s="772" t="s">
        <v>173</v>
      </c>
      <c r="B101" s="773"/>
      <c r="C101" s="773"/>
      <c r="D101" s="773"/>
      <c r="E101" s="773"/>
      <c r="F101" s="773"/>
      <c r="G101" s="773"/>
      <c r="H101" s="773"/>
      <c r="I101" s="773"/>
      <c r="J101" s="773"/>
    </row>
    <row r="102" spans="1:12" x14ac:dyDescent="0.3">
      <c r="A102" s="26"/>
      <c r="B102" s="26"/>
      <c r="C102" s="26" t="s">
        <v>4</v>
      </c>
      <c r="D102" s="26" t="s">
        <v>79</v>
      </c>
      <c r="E102" s="26" t="s">
        <v>80</v>
      </c>
      <c r="F102" s="26" t="s">
        <v>50</v>
      </c>
      <c r="G102" s="26" t="s">
        <v>57</v>
      </c>
      <c r="H102" s="27" t="s">
        <v>53</v>
      </c>
      <c r="I102" s="28" t="s">
        <v>65</v>
      </c>
      <c r="J102" s="28" t="s">
        <v>81</v>
      </c>
    </row>
    <row r="103" spans="1:12" x14ac:dyDescent="0.3">
      <c r="A103" s="774" t="s">
        <v>169</v>
      </c>
      <c r="B103" s="775"/>
      <c r="C103" s="775"/>
      <c r="D103" s="776"/>
      <c r="E103" s="107"/>
      <c r="F103" s="107"/>
      <c r="G103" s="107"/>
      <c r="H103" s="108"/>
      <c r="I103" s="107"/>
      <c r="J103" s="107"/>
    </row>
    <row r="104" spans="1:12" x14ac:dyDescent="0.3">
      <c r="A104" s="3">
        <v>1</v>
      </c>
      <c r="B104" s="3" t="s">
        <v>108</v>
      </c>
      <c r="C104" s="3"/>
      <c r="D104" s="3"/>
      <c r="E104" s="3"/>
      <c r="F104" s="3"/>
      <c r="G104" s="3"/>
      <c r="H104" s="16"/>
      <c r="I104" s="3"/>
      <c r="J104" s="3"/>
    </row>
    <row r="105" spans="1:12" x14ac:dyDescent="0.3">
      <c r="A105" s="3"/>
      <c r="B105" s="3" t="s">
        <v>84</v>
      </c>
      <c r="C105" s="3"/>
      <c r="D105" s="3" t="s">
        <v>85</v>
      </c>
      <c r="E105" s="3">
        <v>3</v>
      </c>
      <c r="F105" s="111">
        <v>15000</v>
      </c>
      <c r="G105" s="3">
        <v>6</v>
      </c>
      <c r="H105" s="16">
        <v>1</v>
      </c>
      <c r="I105" s="24">
        <f>E105*F105*G105*H105</f>
        <v>270000</v>
      </c>
      <c r="J105" s="112">
        <f>I105/54</f>
        <v>5000</v>
      </c>
    </row>
    <row r="106" spans="1:12" x14ac:dyDescent="0.3">
      <c r="A106" s="3"/>
      <c r="B106" s="3" t="s">
        <v>86</v>
      </c>
      <c r="C106" s="3" t="s">
        <v>87</v>
      </c>
      <c r="D106" s="3"/>
      <c r="E106" s="3"/>
      <c r="F106" s="111"/>
      <c r="G106" s="3"/>
      <c r="H106" s="16"/>
      <c r="I106" s="3"/>
      <c r="J106" s="112">
        <f t="shared" ref="J106:J110" si="41">I106/54</f>
        <v>0</v>
      </c>
    </row>
    <row r="107" spans="1:12" x14ac:dyDescent="0.3">
      <c r="A107" s="3"/>
      <c r="B107" s="3"/>
      <c r="C107" s="3" t="s">
        <v>88</v>
      </c>
      <c r="D107" s="3"/>
      <c r="E107" s="79">
        <v>3</v>
      </c>
      <c r="F107" s="111">
        <v>20000</v>
      </c>
      <c r="G107" s="3">
        <v>1</v>
      </c>
      <c r="H107" s="16">
        <v>1</v>
      </c>
      <c r="I107" s="24">
        <f>E107*F107*G107*H107</f>
        <v>60000</v>
      </c>
      <c r="J107" s="112">
        <f t="shared" si="41"/>
        <v>1111.1111111111111</v>
      </c>
    </row>
    <row r="108" spans="1:12" x14ac:dyDescent="0.3">
      <c r="A108" s="3"/>
      <c r="B108" s="3"/>
      <c r="C108" s="3" t="s">
        <v>89</v>
      </c>
      <c r="D108" s="3"/>
      <c r="E108" s="79">
        <v>3</v>
      </c>
      <c r="F108" s="111">
        <v>2500</v>
      </c>
      <c r="G108" s="3">
        <v>6</v>
      </c>
      <c r="H108" s="16">
        <v>1</v>
      </c>
      <c r="I108" s="24">
        <f>E108*F108*G108*H108</f>
        <v>45000</v>
      </c>
      <c r="J108" s="112">
        <f t="shared" si="41"/>
        <v>833.33333333333337</v>
      </c>
    </row>
    <row r="109" spans="1:12" x14ac:dyDescent="0.3">
      <c r="A109" s="3"/>
      <c r="B109" s="3"/>
      <c r="C109" s="3" t="s">
        <v>90</v>
      </c>
      <c r="D109" s="3"/>
      <c r="E109" s="79">
        <v>3</v>
      </c>
      <c r="F109" s="111">
        <v>10000</v>
      </c>
      <c r="G109" s="3">
        <v>6</v>
      </c>
      <c r="H109" s="16">
        <v>1</v>
      </c>
      <c r="I109" s="24">
        <f>E109*F109*G109*H109</f>
        <v>180000</v>
      </c>
      <c r="J109" s="112">
        <f t="shared" si="41"/>
        <v>3333.3333333333335</v>
      </c>
    </row>
    <row r="110" spans="1:12" x14ac:dyDescent="0.3">
      <c r="A110" s="3"/>
      <c r="B110" s="3"/>
      <c r="C110" s="3"/>
      <c r="D110" s="82" t="s">
        <v>10</v>
      </c>
      <c r="E110" s="82"/>
      <c r="F110" s="122"/>
      <c r="G110" s="82"/>
      <c r="H110" s="123"/>
      <c r="I110" s="121">
        <f>SUM(I105:I109)</f>
        <v>555000</v>
      </c>
      <c r="J110" s="121">
        <f t="shared" si="41"/>
        <v>10277.777777777777</v>
      </c>
    </row>
    <row r="111" spans="1:12" x14ac:dyDescent="0.3">
      <c r="A111" s="96"/>
      <c r="B111" s="96"/>
      <c r="C111" s="96"/>
      <c r="D111" s="96"/>
      <c r="E111" s="96"/>
      <c r="F111" s="124"/>
      <c r="G111" s="96"/>
      <c r="H111" s="125"/>
      <c r="I111" s="126"/>
      <c r="J111" s="96"/>
    </row>
    <row r="112" spans="1:12" x14ac:dyDescent="0.3">
      <c r="A112" s="769" t="s">
        <v>91</v>
      </c>
      <c r="B112" s="770"/>
      <c r="C112" s="770"/>
      <c r="D112" s="771"/>
      <c r="E112" s="127"/>
      <c r="F112" s="128"/>
      <c r="G112" s="127"/>
      <c r="H112" s="129"/>
      <c r="I112" s="127"/>
      <c r="J112" s="127"/>
    </row>
    <row r="113" spans="1:12" x14ac:dyDescent="0.3">
      <c r="A113" s="3"/>
      <c r="B113" s="3" t="s">
        <v>92</v>
      </c>
      <c r="C113" s="3" t="s">
        <v>93</v>
      </c>
      <c r="D113" s="3"/>
      <c r="E113" s="3">
        <v>40</v>
      </c>
      <c r="F113" s="111">
        <v>2000</v>
      </c>
      <c r="G113" s="3">
        <v>5</v>
      </c>
      <c r="H113" s="16">
        <v>1</v>
      </c>
      <c r="I113" s="24">
        <f t="shared" ref="I113:I120" si="42">E113*F113*G113*H113</f>
        <v>400000</v>
      </c>
      <c r="J113" s="24">
        <f>I113/54</f>
        <v>7407.4074074074078</v>
      </c>
    </row>
    <row r="114" spans="1:12" x14ac:dyDescent="0.3">
      <c r="A114" s="3"/>
      <c r="B114" s="3" t="s">
        <v>86</v>
      </c>
      <c r="C114" s="3" t="s">
        <v>94</v>
      </c>
      <c r="D114" s="3" t="s">
        <v>110</v>
      </c>
      <c r="E114" s="3">
        <v>30</v>
      </c>
      <c r="F114" s="111">
        <v>20000</v>
      </c>
      <c r="G114" s="3">
        <v>1</v>
      </c>
      <c r="H114" s="16">
        <v>1</v>
      </c>
      <c r="I114" s="24">
        <f t="shared" si="42"/>
        <v>600000</v>
      </c>
      <c r="J114" s="24">
        <f t="shared" ref="J114:J121" si="43">I114/54</f>
        <v>11111.111111111111</v>
      </c>
    </row>
    <row r="115" spans="1:12" x14ac:dyDescent="0.3">
      <c r="A115" s="3"/>
      <c r="B115" s="3" t="s">
        <v>95</v>
      </c>
      <c r="C115" s="3" t="s">
        <v>96</v>
      </c>
      <c r="D115" s="3" t="s">
        <v>110</v>
      </c>
      <c r="E115" s="3">
        <v>30</v>
      </c>
      <c r="F115" s="111">
        <v>10000</v>
      </c>
      <c r="G115" s="3">
        <v>5</v>
      </c>
      <c r="H115" s="16">
        <v>1</v>
      </c>
      <c r="I115" s="24">
        <f t="shared" si="42"/>
        <v>1500000</v>
      </c>
      <c r="J115" s="24">
        <f t="shared" si="43"/>
        <v>27777.777777777777</v>
      </c>
    </row>
    <row r="116" spans="1:12" x14ac:dyDescent="0.3">
      <c r="A116" s="3"/>
      <c r="B116" s="3" t="s">
        <v>97</v>
      </c>
      <c r="C116" s="3" t="s">
        <v>171</v>
      </c>
      <c r="D116" s="3" t="s">
        <v>172</v>
      </c>
      <c r="E116" s="3">
        <v>40</v>
      </c>
      <c r="F116" s="111">
        <v>2500</v>
      </c>
      <c r="G116" s="3">
        <v>5</v>
      </c>
      <c r="H116" s="16">
        <v>1</v>
      </c>
      <c r="I116" s="24">
        <f t="shared" si="42"/>
        <v>500000</v>
      </c>
      <c r="J116" s="24">
        <f t="shared" si="43"/>
        <v>9259.2592592592591</v>
      </c>
    </row>
    <row r="117" spans="1:12" x14ac:dyDescent="0.3">
      <c r="A117" s="3"/>
      <c r="B117" s="3" t="s">
        <v>99</v>
      </c>
      <c r="C117" s="3" t="s">
        <v>100</v>
      </c>
      <c r="D117" s="3"/>
      <c r="E117" s="3">
        <v>1</v>
      </c>
      <c r="F117" s="111">
        <v>45000</v>
      </c>
      <c r="G117" s="3">
        <v>5</v>
      </c>
      <c r="H117" s="16">
        <v>1</v>
      </c>
      <c r="I117" s="24">
        <f t="shared" si="42"/>
        <v>225000</v>
      </c>
      <c r="J117" s="24">
        <f t="shared" si="43"/>
        <v>4166.666666666667</v>
      </c>
    </row>
    <row r="118" spans="1:12" x14ac:dyDescent="0.3">
      <c r="A118" s="3"/>
      <c r="B118" s="3" t="s">
        <v>101</v>
      </c>
      <c r="C118" s="3" t="s">
        <v>102</v>
      </c>
      <c r="D118" s="3"/>
      <c r="E118" s="3">
        <v>1</v>
      </c>
      <c r="F118" s="111">
        <v>25000</v>
      </c>
      <c r="G118" s="3">
        <v>5</v>
      </c>
      <c r="H118" s="16">
        <v>1</v>
      </c>
      <c r="I118" s="24">
        <f t="shared" si="42"/>
        <v>125000</v>
      </c>
      <c r="J118" s="24">
        <f t="shared" si="43"/>
        <v>2314.8148148148148</v>
      </c>
    </row>
    <row r="119" spans="1:12" x14ac:dyDescent="0.3">
      <c r="A119" s="3"/>
      <c r="B119" s="3" t="s">
        <v>103</v>
      </c>
      <c r="C119" s="3" t="s">
        <v>104</v>
      </c>
      <c r="D119" s="3" t="s">
        <v>105</v>
      </c>
      <c r="E119" s="3">
        <v>1</v>
      </c>
      <c r="F119" s="111">
        <v>25000</v>
      </c>
      <c r="G119" s="3">
        <v>5</v>
      </c>
      <c r="H119" s="16">
        <v>1</v>
      </c>
      <c r="I119" s="24">
        <f t="shared" si="42"/>
        <v>125000</v>
      </c>
      <c r="J119" s="24">
        <f t="shared" si="43"/>
        <v>2314.8148148148148</v>
      </c>
    </row>
    <row r="120" spans="1:12" x14ac:dyDescent="0.3">
      <c r="A120" s="3"/>
      <c r="B120" s="3" t="s">
        <v>106</v>
      </c>
      <c r="C120" s="3" t="s">
        <v>107</v>
      </c>
      <c r="D120" s="3"/>
      <c r="E120" s="3">
        <v>40</v>
      </c>
      <c r="F120" s="111">
        <v>500</v>
      </c>
      <c r="G120" s="3">
        <v>5</v>
      </c>
      <c r="H120" s="16">
        <v>1</v>
      </c>
      <c r="I120" s="24">
        <f t="shared" si="42"/>
        <v>100000</v>
      </c>
      <c r="J120" s="24">
        <f t="shared" si="43"/>
        <v>1851.851851851852</v>
      </c>
    </row>
    <row r="121" spans="1:12" x14ac:dyDescent="0.3">
      <c r="A121" s="3"/>
      <c r="B121" s="3"/>
      <c r="C121" s="3"/>
      <c r="D121" s="82" t="s">
        <v>10</v>
      </c>
      <c r="E121" s="82"/>
      <c r="F121" s="122"/>
      <c r="G121" s="82"/>
      <c r="H121" s="123"/>
      <c r="I121" s="121">
        <f>SUM(I113:I120)</f>
        <v>3575000</v>
      </c>
      <c r="J121" s="121">
        <f t="shared" si="43"/>
        <v>66203.703703703708</v>
      </c>
    </row>
    <row r="122" spans="1:12" x14ac:dyDescent="0.3">
      <c r="A122" s="3"/>
      <c r="B122" s="3"/>
      <c r="C122" s="3"/>
      <c r="D122" s="3"/>
      <c r="E122" s="3"/>
      <c r="F122" s="3"/>
      <c r="G122" s="3"/>
      <c r="H122" s="16"/>
      <c r="I122" s="3"/>
      <c r="J122" s="3"/>
    </row>
    <row r="123" spans="1:12" x14ac:dyDescent="0.3">
      <c r="A123" s="3"/>
      <c r="B123" s="3"/>
      <c r="C123" s="3"/>
      <c r="D123" s="83" t="s">
        <v>19</v>
      </c>
      <c r="E123" s="83"/>
      <c r="F123" s="83"/>
      <c r="G123" s="83"/>
      <c r="H123" s="131"/>
      <c r="I123" s="132">
        <f>I110+I121</f>
        <v>4130000</v>
      </c>
      <c r="J123" s="132">
        <f>J110+J121</f>
        <v>76481.481481481489</v>
      </c>
      <c r="K123" s="1">
        <f>I123/40</f>
        <v>103250</v>
      </c>
      <c r="L123" s="1">
        <f>J123/40</f>
        <v>1912.0370370370372</v>
      </c>
    </row>
    <row r="125" spans="1:12" x14ac:dyDescent="0.3">
      <c r="A125" s="772" t="s">
        <v>165</v>
      </c>
      <c r="B125" s="773"/>
      <c r="C125" s="773"/>
      <c r="D125" s="773"/>
      <c r="E125" s="773"/>
      <c r="F125" s="773"/>
      <c r="G125" s="773"/>
      <c r="H125" s="773"/>
      <c r="I125" s="773"/>
      <c r="J125" s="773"/>
    </row>
    <row r="126" spans="1:12" x14ac:dyDescent="0.3">
      <c r="A126" s="26"/>
      <c r="B126" s="26"/>
      <c r="C126" s="26" t="s">
        <v>4</v>
      </c>
      <c r="D126" s="26" t="s">
        <v>79</v>
      </c>
      <c r="E126" s="26" t="s">
        <v>80</v>
      </c>
      <c r="F126" s="26" t="s">
        <v>50</v>
      </c>
      <c r="G126" s="26" t="s">
        <v>57</v>
      </c>
      <c r="H126" s="27" t="s">
        <v>53</v>
      </c>
      <c r="I126" s="28" t="s">
        <v>65</v>
      </c>
      <c r="J126" s="28" t="s">
        <v>81</v>
      </c>
    </row>
    <row r="127" spans="1:12" x14ac:dyDescent="0.3">
      <c r="A127" s="774"/>
      <c r="B127" s="775"/>
      <c r="C127" s="775"/>
      <c r="D127" s="776"/>
      <c r="E127" s="107"/>
      <c r="F127" s="107"/>
      <c r="G127" s="107"/>
      <c r="H127" s="108"/>
      <c r="I127" s="107"/>
      <c r="J127" s="107"/>
    </row>
    <row r="128" spans="1:12" x14ac:dyDescent="0.3">
      <c r="A128" s="3">
        <v>1</v>
      </c>
      <c r="B128" s="3" t="s">
        <v>108</v>
      </c>
      <c r="C128" s="3"/>
      <c r="D128" s="3"/>
      <c r="E128" s="3"/>
      <c r="F128" s="3"/>
      <c r="G128" s="3"/>
      <c r="H128" s="16"/>
      <c r="I128" s="3"/>
      <c r="J128" s="3"/>
    </row>
    <row r="129" spans="1:10" x14ac:dyDescent="0.3">
      <c r="A129" s="3"/>
      <c r="B129" s="3" t="s">
        <v>84</v>
      </c>
      <c r="C129" s="3"/>
      <c r="D129" s="3" t="s">
        <v>85</v>
      </c>
      <c r="E129" s="3">
        <v>2</v>
      </c>
      <c r="F129" s="111">
        <v>30000</v>
      </c>
      <c r="G129" s="3">
        <v>6</v>
      </c>
      <c r="H129" s="16">
        <v>1</v>
      </c>
      <c r="I129" s="24">
        <f>E129*F129*G129*H129</f>
        <v>360000</v>
      </c>
      <c r="J129" s="112">
        <f>I129/54</f>
        <v>6666.666666666667</v>
      </c>
    </row>
    <row r="130" spans="1:10" x14ac:dyDescent="0.3">
      <c r="A130" s="3"/>
      <c r="B130" s="3" t="s">
        <v>86</v>
      </c>
      <c r="C130" s="3" t="s">
        <v>87</v>
      </c>
      <c r="D130" s="3"/>
      <c r="E130" s="3"/>
      <c r="F130" s="111"/>
      <c r="G130" s="3"/>
      <c r="H130" s="16"/>
      <c r="I130" s="3"/>
      <c r="J130" s="112">
        <f t="shared" ref="J130:J133" si="44">I130/54</f>
        <v>0</v>
      </c>
    </row>
    <row r="131" spans="1:10" x14ac:dyDescent="0.3">
      <c r="A131" s="3"/>
      <c r="B131" s="3"/>
      <c r="C131" s="3" t="s">
        <v>88</v>
      </c>
      <c r="D131" s="3"/>
      <c r="E131" s="79">
        <v>2</v>
      </c>
      <c r="F131" s="111">
        <v>25000</v>
      </c>
      <c r="G131" s="3">
        <v>1</v>
      </c>
      <c r="H131" s="16">
        <v>1</v>
      </c>
      <c r="I131" s="24">
        <f>E131*F131*G131*H131</f>
        <v>50000</v>
      </c>
      <c r="J131" s="112">
        <f t="shared" si="44"/>
        <v>925.92592592592598</v>
      </c>
    </row>
    <row r="132" spans="1:10" x14ac:dyDescent="0.3">
      <c r="A132" s="3"/>
      <c r="B132" s="3"/>
      <c r="C132" s="3" t="s">
        <v>89</v>
      </c>
      <c r="D132" s="3"/>
      <c r="E132" s="79">
        <v>2</v>
      </c>
      <c r="F132" s="111">
        <v>2500</v>
      </c>
      <c r="G132" s="3">
        <v>6</v>
      </c>
      <c r="H132" s="16">
        <v>1</v>
      </c>
      <c r="I132" s="24">
        <f>E132*F132*G132*H132</f>
        <v>30000</v>
      </c>
      <c r="J132" s="112">
        <f t="shared" si="44"/>
        <v>555.55555555555554</v>
      </c>
    </row>
    <row r="133" spans="1:10" x14ac:dyDescent="0.3">
      <c r="A133" s="3"/>
      <c r="B133" s="3"/>
      <c r="C133" s="3" t="s">
        <v>90</v>
      </c>
      <c r="D133" s="3"/>
      <c r="E133" s="79">
        <v>2</v>
      </c>
      <c r="F133" s="111">
        <v>10000</v>
      </c>
      <c r="G133" s="3">
        <v>6</v>
      </c>
      <c r="H133" s="16">
        <v>1</v>
      </c>
      <c r="I133" s="24">
        <f>E133*F133*G133*H133</f>
        <v>120000</v>
      </c>
      <c r="J133" s="112">
        <f t="shared" si="44"/>
        <v>2222.2222222222222</v>
      </c>
    </row>
    <row r="134" spans="1:10" x14ac:dyDescent="0.3">
      <c r="A134" s="3"/>
      <c r="B134" s="3"/>
      <c r="C134" s="3"/>
      <c r="D134" s="82" t="s">
        <v>10</v>
      </c>
      <c r="E134" s="82"/>
      <c r="F134" s="122"/>
      <c r="G134" s="82"/>
      <c r="H134" s="123"/>
      <c r="I134" s="121">
        <f>SUM(I129:I133)</f>
        <v>560000</v>
      </c>
      <c r="J134" s="121">
        <f>SUM(J129:J133)</f>
        <v>10370.37037037037</v>
      </c>
    </row>
    <row r="135" spans="1:10" x14ac:dyDescent="0.3">
      <c r="A135" s="96"/>
      <c r="B135" s="96"/>
      <c r="C135" s="96"/>
      <c r="D135" s="96"/>
      <c r="E135" s="96"/>
      <c r="F135" s="124"/>
      <c r="G135" s="96"/>
      <c r="H135" s="125"/>
      <c r="I135" s="126"/>
      <c r="J135" s="96"/>
    </row>
    <row r="136" spans="1:10" x14ac:dyDescent="0.3">
      <c r="A136" s="769" t="s">
        <v>174</v>
      </c>
      <c r="B136" s="770"/>
      <c r="C136" s="770"/>
      <c r="D136" s="771"/>
      <c r="E136" s="127"/>
      <c r="F136" s="128"/>
      <c r="G136" s="127"/>
      <c r="H136" s="129"/>
      <c r="I136" s="127"/>
      <c r="J136" s="127"/>
    </row>
    <row r="137" spans="1:10" x14ac:dyDescent="0.3">
      <c r="A137" s="3"/>
      <c r="B137" s="3" t="s">
        <v>92</v>
      </c>
      <c r="C137" s="3" t="s">
        <v>93</v>
      </c>
      <c r="D137" s="3"/>
      <c r="E137" s="3">
        <v>40</v>
      </c>
      <c r="F137" s="111">
        <v>1000</v>
      </c>
      <c r="G137" s="3">
        <v>5</v>
      </c>
      <c r="H137" s="16">
        <v>1</v>
      </c>
      <c r="I137" s="24">
        <f t="shared" ref="I137:I144" si="45">E137*F137*G137*H137</f>
        <v>200000</v>
      </c>
      <c r="J137" s="133">
        <f>I137/54</f>
        <v>3703.7037037037039</v>
      </c>
    </row>
    <row r="138" spans="1:10" x14ac:dyDescent="0.3">
      <c r="A138" s="3"/>
      <c r="B138" s="3" t="s">
        <v>86</v>
      </c>
      <c r="C138" s="3" t="s">
        <v>94</v>
      </c>
      <c r="D138" s="3" t="s">
        <v>110</v>
      </c>
      <c r="E138" s="3">
        <v>30</v>
      </c>
      <c r="F138" s="111">
        <v>5000</v>
      </c>
      <c r="G138" s="3">
        <v>1</v>
      </c>
      <c r="H138" s="16">
        <v>1</v>
      </c>
      <c r="I138" s="24">
        <f t="shared" si="45"/>
        <v>150000</v>
      </c>
      <c r="J138" s="133">
        <f t="shared" ref="J138:J145" si="46">I138/54</f>
        <v>2777.7777777777778</v>
      </c>
    </row>
    <row r="139" spans="1:10" x14ac:dyDescent="0.3">
      <c r="A139" s="3"/>
      <c r="B139" s="3" t="s">
        <v>95</v>
      </c>
      <c r="C139" s="3" t="s">
        <v>96</v>
      </c>
      <c r="D139" s="3" t="s">
        <v>110</v>
      </c>
      <c r="E139" s="3">
        <v>30</v>
      </c>
      <c r="F139" s="111">
        <v>10000</v>
      </c>
      <c r="G139" s="3">
        <v>5</v>
      </c>
      <c r="H139" s="16">
        <v>1</v>
      </c>
      <c r="I139" s="24">
        <f t="shared" si="45"/>
        <v>1500000</v>
      </c>
      <c r="J139" s="133">
        <f t="shared" si="46"/>
        <v>27777.777777777777</v>
      </c>
    </row>
    <row r="140" spans="1:10" x14ac:dyDescent="0.3">
      <c r="A140" s="3"/>
      <c r="B140" s="3" t="s">
        <v>97</v>
      </c>
      <c r="C140" s="3" t="s">
        <v>171</v>
      </c>
      <c r="D140" s="3" t="s">
        <v>110</v>
      </c>
      <c r="E140" s="3">
        <v>40</v>
      </c>
      <c r="F140" s="111">
        <v>1500</v>
      </c>
      <c r="G140" s="3">
        <v>5</v>
      </c>
      <c r="H140" s="16">
        <v>1</v>
      </c>
      <c r="I140" s="24">
        <f t="shared" si="45"/>
        <v>300000</v>
      </c>
      <c r="J140" s="133">
        <f t="shared" si="46"/>
        <v>5555.5555555555557</v>
      </c>
    </row>
    <row r="141" spans="1:10" x14ac:dyDescent="0.3">
      <c r="A141" s="3"/>
      <c r="B141" s="3" t="s">
        <v>99</v>
      </c>
      <c r="C141" s="3" t="s">
        <v>100</v>
      </c>
      <c r="D141" s="3" t="s">
        <v>112</v>
      </c>
      <c r="E141" s="3">
        <v>1</v>
      </c>
      <c r="F141" s="111">
        <v>10000</v>
      </c>
      <c r="G141" s="3">
        <v>5</v>
      </c>
      <c r="H141" s="16">
        <v>1</v>
      </c>
      <c r="I141" s="24">
        <f t="shared" si="45"/>
        <v>50000</v>
      </c>
      <c r="J141" s="133">
        <f t="shared" si="46"/>
        <v>925.92592592592598</v>
      </c>
    </row>
    <row r="142" spans="1:10" x14ac:dyDescent="0.3">
      <c r="A142" s="3"/>
      <c r="B142" s="3" t="s">
        <v>101</v>
      </c>
      <c r="C142" s="3" t="s">
        <v>102</v>
      </c>
      <c r="D142" s="3"/>
      <c r="E142" s="3">
        <v>1</v>
      </c>
      <c r="F142" s="111">
        <v>25000</v>
      </c>
      <c r="G142" s="3">
        <v>5</v>
      </c>
      <c r="H142" s="16">
        <v>1</v>
      </c>
      <c r="I142" s="24">
        <f t="shared" si="45"/>
        <v>125000</v>
      </c>
      <c r="J142" s="133">
        <f t="shared" si="46"/>
        <v>2314.8148148148148</v>
      </c>
    </row>
    <row r="143" spans="1:10" x14ac:dyDescent="0.3">
      <c r="A143" s="3"/>
      <c r="B143" s="3" t="s">
        <v>103</v>
      </c>
      <c r="C143" s="3" t="s">
        <v>104</v>
      </c>
      <c r="D143" s="3" t="s">
        <v>105</v>
      </c>
      <c r="E143" s="3">
        <v>1</v>
      </c>
      <c r="F143" s="111">
        <v>25000</v>
      </c>
      <c r="G143" s="3">
        <v>5</v>
      </c>
      <c r="H143" s="16">
        <v>1</v>
      </c>
      <c r="I143" s="24">
        <f t="shared" si="45"/>
        <v>125000</v>
      </c>
      <c r="J143" s="133">
        <f t="shared" si="46"/>
        <v>2314.8148148148148</v>
      </c>
    </row>
    <row r="144" spans="1:10" x14ac:dyDescent="0.3">
      <c r="A144" s="3"/>
      <c r="B144" s="3" t="s">
        <v>106</v>
      </c>
      <c r="C144" s="3" t="s">
        <v>107</v>
      </c>
      <c r="D144" s="3"/>
      <c r="E144" s="3">
        <v>40</v>
      </c>
      <c r="F144" s="111">
        <v>400</v>
      </c>
      <c r="G144" s="3">
        <v>5</v>
      </c>
      <c r="H144" s="16">
        <v>1</v>
      </c>
      <c r="I144" s="24">
        <f t="shared" si="45"/>
        <v>80000</v>
      </c>
      <c r="J144" s="133">
        <f t="shared" si="46"/>
        <v>1481.4814814814815</v>
      </c>
    </row>
    <row r="145" spans="1:12" x14ac:dyDescent="0.3">
      <c r="A145" s="3"/>
      <c r="B145" s="3"/>
      <c r="C145" s="3"/>
      <c r="D145" s="82" t="s">
        <v>10</v>
      </c>
      <c r="E145" s="82"/>
      <c r="F145" s="122"/>
      <c r="G145" s="82"/>
      <c r="H145" s="123"/>
      <c r="I145" s="121">
        <f>SUM(I137:I144)</f>
        <v>2530000</v>
      </c>
      <c r="J145" s="121">
        <f t="shared" si="46"/>
        <v>46851.851851851854</v>
      </c>
    </row>
    <row r="146" spans="1:12" x14ac:dyDescent="0.3">
      <c r="A146" s="3"/>
      <c r="B146" s="3"/>
      <c r="C146" s="3"/>
      <c r="D146" s="3"/>
      <c r="E146" s="3"/>
      <c r="F146" s="3"/>
      <c r="G146" s="3"/>
      <c r="H146" s="16"/>
      <c r="I146" s="3"/>
      <c r="J146" s="3"/>
    </row>
    <row r="147" spans="1:12" x14ac:dyDescent="0.3">
      <c r="A147" s="3"/>
      <c r="B147" s="3"/>
      <c r="C147" s="3"/>
      <c r="D147" s="83" t="s">
        <v>19</v>
      </c>
      <c r="E147" s="83"/>
      <c r="F147" s="83"/>
      <c r="G147" s="83"/>
      <c r="H147" s="131"/>
      <c r="I147" s="132">
        <f>I134+I145</f>
        <v>3090000</v>
      </c>
      <c r="J147" s="132">
        <f>J134+J145</f>
        <v>57222.222222222226</v>
      </c>
      <c r="K147" s="1">
        <f>I147/40</f>
        <v>77250</v>
      </c>
      <c r="L147" s="1">
        <f>J147/54</f>
        <v>1059.6707818930042</v>
      </c>
    </row>
    <row r="149" spans="1:12" x14ac:dyDescent="0.3">
      <c r="A149" s="772" t="s">
        <v>167</v>
      </c>
      <c r="B149" s="773"/>
      <c r="C149" s="773"/>
      <c r="D149" s="773"/>
      <c r="E149" s="773"/>
      <c r="F149" s="773"/>
      <c r="G149" s="773"/>
      <c r="H149" s="773"/>
      <c r="I149" s="773"/>
      <c r="J149" s="773"/>
    </row>
    <row r="150" spans="1:12" x14ac:dyDescent="0.3">
      <c r="A150" s="26"/>
      <c r="B150" s="26"/>
      <c r="C150" s="26" t="s">
        <v>4</v>
      </c>
      <c r="D150" s="26" t="s">
        <v>79</v>
      </c>
      <c r="E150" s="26" t="s">
        <v>80</v>
      </c>
      <c r="F150" s="26" t="s">
        <v>50</v>
      </c>
      <c r="G150" s="26" t="s">
        <v>57</v>
      </c>
      <c r="H150" s="27" t="s">
        <v>53</v>
      </c>
      <c r="I150" s="28" t="s">
        <v>65</v>
      </c>
      <c r="J150" s="28" t="s">
        <v>81</v>
      </c>
    </row>
    <row r="151" spans="1:12" x14ac:dyDescent="0.3">
      <c r="A151" s="774"/>
      <c r="B151" s="775"/>
      <c r="C151" s="775"/>
      <c r="D151" s="776"/>
      <c r="E151" s="107"/>
      <c r="F151" s="107"/>
      <c r="G151" s="107"/>
      <c r="H151" s="108"/>
      <c r="I151" s="107"/>
      <c r="J151" s="107"/>
    </row>
    <row r="152" spans="1:12" x14ac:dyDescent="0.3">
      <c r="A152" s="3">
        <v>1</v>
      </c>
      <c r="B152" s="3" t="s">
        <v>108</v>
      </c>
      <c r="C152" s="3"/>
      <c r="D152" s="3"/>
      <c r="E152" s="3"/>
      <c r="F152" s="3"/>
      <c r="G152" s="3"/>
      <c r="H152" s="16"/>
      <c r="I152" s="3"/>
      <c r="J152" s="3"/>
    </row>
    <row r="153" spans="1:12" x14ac:dyDescent="0.3">
      <c r="A153" s="3"/>
      <c r="B153" s="3" t="s">
        <v>84</v>
      </c>
      <c r="C153" s="3"/>
      <c r="D153" s="3" t="s">
        <v>85</v>
      </c>
      <c r="E153" s="3">
        <v>2</v>
      </c>
      <c r="F153" s="111">
        <v>10000</v>
      </c>
      <c r="G153" s="3">
        <v>6</v>
      </c>
      <c r="H153" s="16">
        <v>1</v>
      </c>
      <c r="I153" s="24">
        <f>E153*F153*G153*H153</f>
        <v>120000</v>
      </c>
      <c r="J153" s="112">
        <f>I153/54</f>
        <v>2222.2222222222222</v>
      </c>
    </row>
    <row r="154" spans="1:12" x14ac:dyDescent="0.3">
      <c r="A154" s="3"/>
      <c r="B154" s="3" t="s">
        <v>86</v>
      </c>
      <c r="C154" s="3" t="s">
        <v>87</v>
      </c>
      <c r="D154" s="3"/>
      <c r="E154" s="3"/>
      <c r="F154" s="111"/>
      <c r="G154" s="3"/>
      <c r="H154" s="16"/>
      <c r="I154" s="3"/>
      <c r="J154" s="112"/>
    </row>
    <row r="155" spans="1:12" x14ac:dyDescent="0.3">
      <c r="A155" s="3"/>
      <c r="B155" s="3"/>
      <c r="C155" s="3" t="s">
        <v>88</v>
      </c>
      <c r="D155" s="3"/>
      <c r="E155" s="79">
        <v>2</v>
      </c>
      <c r="F155" s="111">
        <v>5000</v>
      </c>
      <c r="G155" s="3">
        <v>1</v>
      </c>
      <c r="H155" s="16">
        <v>1</v>
      </c>
      <c r="I155" s="24">
        <f>E155*F155*G155*H155</f>
        <v>10000</v>
      </c>
      <c r="J155" s="112">
        <f>I155/54</f>
        <v>185.18518518518519</v>
      </c>
    </row>
    <row r="156" spans="1:12" x14ac:dyDescent="0.3">
      <c r="A156" s="3"/>
      <c r="B156" s="3"/>
      <c r="C156" s="3" t="s">
        <v>89</v>
      </c>
      <c r="D156" s="3"/>
      <c r="E156" s="79">
        <v>2</v>
      </c>
      <c r="F156" s="111">
        <v>1500</v>
      </c>
      <c r="G156" s="3">
        <v>6</v>
      </c>
      <c r="H156" s="16">
        <v>1</v>
      </c>
      <c r="I156" s="24">
        <f>E156*F156*G156*H156</f>
        <v>18000</v>
      </c>
      <c r="J156" s="112">
        <f t="shared" ref="J156:J158" si="47">I156/54</f>
        <v>333.33333333333331</v>
      </c>
    </row>
    <row r="157" spans="1:12" x14ac:dyDescent="0.3">
      <c r="A157" s="3"/>
      <c r="B157" s="3"/>
      <c r="C157" s="3" t="s">
        <v>90</v>
      </c>
      <c r="D157" s="3"/>
      <c r="E157" s="79">
        <v>2</v>
      </c>
      <c r="F157" s="111">
        <v>4000</v>
      </c>
      <c r="G157" s="3">
        <v>6</v>
      </c>
      <c r="H157" s="16">
        <v>1</v>
      </c>
      <c r="I157" s="24">
        <f>E157*F157*G157*H157</f>
        <v>48000</v>
      </c>
      <c r="J157" s="112">
        <f t="shared" si="47"/>
        <v>888.88888888888891</v>
      </c>
    </row>
    <row r="158" spans="1:12" x14ac:dyDescent="0.3">
      <c r="A158" s="3"/>
      <c r="B158" s="3"/>
      <c r="C158" s="3"/>
      <c r="D158" s="82" t="s">
        <v>10</v>
      </c>
      <c r="E158" s="82"/>
      <c r="F158" s="122"/>
      <c r="G158" s="82"/>
      <c r="H158" s="123"/>
      <c r="I158" s="121">
        <f>SUM(I153:I157)</f>
        <v>196000</v>
      </c>
      <c r="J158" s="121">
        <f t="shared" si="47"/>
        <v>3629.6296296296296</v>
      </c>
    </row>
    <row r="159" spans="1:12" x14ac:dyDescent="0.3">
      <c r="A159" s="96"/>
      <c r="B159" s="96"/>
      <c r="C159" s="96"/>
      <c r="D159" s="96"/>
      <c r="E159" s="96"/>
      <c r="F159" s="124"/>
      <c r="G159" s="96"/>
      <c r="H159" s="125"/>
      <c r="I159" s="126"/>
      <c r="J159" s="96"/>
    </row>
    <row r="160" spans="1:12" x14ac:dyDescent="0.3">
      <c r="A160" s="769" t="s">
        <v>91</v>
      </c>
      <c r="B160" s="770"/>
      <c r="C160" s="770"/>
      <c r="D160" s="771"/>
      <c r="E160" s="127"/>
      <c r="F160" s="128"/>
      <c r="G160" s="127"/>
      <c r="H160" s="129"/>
      <c r="I160" s="127"/>
      <c r="J160" s="127"/>
    </row>
    <row r="161" spans="1:12" x14ac:dyDescent="0.3">
      <c r="A161" s="3"/>
      <c r="B161" s="3" t="s">
        <v>92</v>
      </c>
      <c r="C161" s="3" t="s">
        <v>93</v>
      </c>
      <c r="D161" s="3"/>
      <c r="E161" s="3">
        <v>40</v>
      </c>
      <c r="F161" s="111">
        <v>750</v>
      </c>
      <c r="G161" s="3">
        <v>5</v>
      </c>
      <c r="H161" s="16">
        <v>1</v>
      </c>
      <c r="I161" s="24">
        <f t="shared" ref="I161:I168" si="48">E161*F161*G161*H161</f>
        <v>150000</v>
      </c>
      <c r="J161" s="24">
        <f>I161/54</f>
        <v>2777.7777777777778</v>
      </c>
    </row>
    <row r="162" spans="1:12" x14ac:dyDescent="0.3">
      <c r="A162" s="3"/>
      <c r="B162" s="3" t="s">
        <v>86</v>
      </c>
      <c r="C162" s="3" t="s">
        <v>94</v>
      </c>
      <c r="D162" s="3" t="s">
        <v>110</v>
      </c>
      <c r="E162" s="3">
        <v>30</v>
      </c>
      <c r="F162" s="111">
        <v>1500</v>
      </c>
      <c r="G162" s="3">
        <v>1</v>
      </c>
      <c r="H162" s="16">
        <v>1</v>
      </c>
      <c r="I162" s="24">
        <f t="shared" si="48"/>
        <v>45000</v>
      </c>
      <c r="J162" s="24">
        <f t="shared" ref="J162:J169" si="49">I162/54</f>
        <v>833.33333333333337</v>
      </c>
    </row>
    <row r="163" spans="1:12" x14ac:dyDescent="0.3">
      <c r="A163" s="3"/>
      <c r="B163" s="3" t="s">
        <v>95</v>
      </c>
      <c r="C163" s="3" t="s">
        <v>96</v>
      </c>
      <c r="D163" s="3" t="s">
        <v>110</v>
      </c>
      <c r="E163" s="3">
        <v>30</v>
      </c>
      <c r="F163" s="111">
        <v>4000</v>
      </c>
      <c r="G163" s="3">
        <v>6</v>
      </c>
      <c r="H163" s="16">
        <v>1</v>
      </c>
      <c r="I163" s="24">
        <f t="shared" si="48"/>
        <v>720000</v>
      </c>
      <c r="J163" s="24">
        <f t="shared" si="49"/>
        <v>13333.333333333334</v>
      </c>
    </row>
    <row r="164" spans="1:12" x14ac:dyDescent="0.3">
      <c r="A164" s="3"/>
      <c r="B164" s="3" t="s">
        <v>97</v>
      </c>
      <c r="C164" s="3" t="s">
        <v>171</v>
      </c>
      <c r="D164" s="3" t="s">
        <v>172</v>
      </c>
      <c r="E164" s="3">
        <v>40</v>
      </c>
      <c r="F164" s="111">
        <v>1000</v>
      </c>
      <c r="G164" s="3">
        <v>6</v>
      </c>
      <c r="H164" s="16">
        <v>1</v>
      </c>
      <c r="I164" s="24">
        <f t="shared" si="48"/>
        <v>240000</v>
      </c>
      <c r="J164" s="24">
        <f t="shared" si="49"/>
        <v>4444.4444444444443</v>
      </c>
    </row>
    <row r="165" spans="1:12" x14ac:dyDescent="0.3">
      <c r="A165" s="3"/>
      <c r="B165" s="3" t="s">
        <v>99</v>
      </c>
      <c r="C165" s="3" t="s">
        <v>100</v>
      </c>
      <c r="D165" s="3"/>
      <c r="E165" s="3">
        <v>0</v>
      </c>
      <c r="F165" s="111">
        <v>45000</v>
      </c>
      <c r="G165" s="3">
        <v>0</v>
      </c>
      <c r="H165" s="16">
        <v>1</v>
      </c>
      <c r="I165" s="24">
        <f t="shared" si="48"/>
        <v>0</v>
      </c>
      <c r="J165" s="24">
        <f t="shared" si="49"/>
        <v>0</v>
      </c>
    </row>
    <row r="166" spans="1:12" x14ac:dyDescent="0.3">
      <c r="A166" s="3"/>
      <c r="B166" s="3" t="s">
        <v>101</v>
      </c>
      <c r="C166" s="3" t="s">
        <v>102</v>
      </c>
      <c r="D166" s="3" t="s">
        <v>175</v>
      </c>
      <c r="E166" s="3">
        <v>1</v>
      </c>
      <c r="F166" s="111">
        <v>10000</v>
      </c>
      <c r="G166" s="3">
        <v>5</v>
      </c>
      <c r="H166" s="16">
        <v>1</v>
      </c>
      <c r="I166" s="24">
        <f t="shared" si="48"/>
        <v>50000</v>
      </c>
      <c r="J166" s="24">
        <f t="shared" si="49"/>
        <v>925.92592592592598</v>
      </c>
    </row>
    <row r="167" spans="1:12" x14ac:dyDescent="0.3">
      <c r="A167" s="3"/>
      <c r="B167" s="3" t="s">
        <v>103</v>
      </c>
      <c r="C167" s="3" t="s">
        <v>104</v>
      </c>
      <c r="D167" s="3" t="s">
        <v>105</v>
      </c>
      <c r="E167" s="3">
        <v>1</v>
      </c>
      <c r="F167" s="111">
        <v>5000</v>
      </c>
      <c r="G167" s="3">
        <v>5</v>
      </c>
      <c r="H167" s="16">
        <v>1</v>
      </c>
      <c r="I167" s="24">
        <f t="shared" si="48"/>
        <v>25000</v>
      </c>
      <c r="J167" s="24">
        <f t="shared" si="49"/>
        <v>462.96296296296299</v>
      </c>
    </row>
    <row r="168" spans="1:12" x14ac:dyDescent="0.3">
      <c r="A168" s="3"/>
      <c r="B168" s="3" t="s">
        <v>106</v>
      </c>
      <c r="C168" s="3" t="s">
        <v>107</v>
      </c>
      <c r="D168" s="3"/>
      <c r="E168" s="3">
        <v>40</v>
      </c>
      <c r="F168" s="111">
        <v>400</v>
      </c>
      <c r="G168" s="3">
        <v>5</v>
      </c>
      <c r="H168" s="16">
        <v>1</v>
      </c>
      <c r="I168" s="24">
        <f t="shared" si="48"/>
        <v>80000</v>
      </c>
      <c r="J168" s="24">
        <f t="shared" si="49"/>
        <v>1481.4814814814815</v>
      </c>
    </row>
    <row r="169" spans="1:12" x14ac:dyDescent="0.3">
      <c r="A169" s="3"/>
      <c r="B169" s="3"/>
      <c r="C169" s="3"/>
      <c r="D169" s="82" t="s">
        <v>10</v>
      </c>
      <c r="E169" s="82"/>
      <c r="F169" s="122"/>
      <c r="G169" s="82"/>
      <c r="H169" s="123"/>
      <c r="I169" s="121">
        <f>SUM(I161:I168)</f>
        <v>1310000</v>
      </c>
      <c r="J169" s="121">
        <f t="shared" si="49"/>
        <v>24259.259259259259</v>
      </c>
    </row>
    <row r="170" spans="1:12" x14ac:dyDescent="0.3">
      <c r="A170" s="3"/>
      <c r="B170" s="3"/>
      <c r="C170" s="3"/>
      <c r="D170" s="3"/>
      <c r="E170" s="3"/>
      <c r="F170" s="3"/>
      <c r="G170" s="3"/>
      <c r="H170" s="16"/>
      <c r="I170" s="3"/>
      <c r="J170" s="3"/>
    </row>
    <row r="171" spans="1:12" x14ac:dyDescent="0.3">
      <c r="A171" s="3"/>
      <c r="B171" s="3"/>
      <c r="C171" s="3"/>
      <c r="D171" s="83" t="s">
        <v>19</v>
      </c>
      <c r="E171" s="83"/>
      <c r="F171" s="83"/>
      <c r="G171" s="83"/>
      <c r="H171" s="131"/>
      <c r="I171" s="132">
        <f>I158+I169</f>
        <v>1506000</v>
      </c>
      <c r="J171" s="132">
        <f>J158+J169</f>
        <v>27888.888888888891</v>
      </c>
      <c r="K171" s="134">
        <f>I171/40</f>
        <v>37650</v>
      </c>
      <c r="L171" s="33">
        <f>J171/40</f>
        <v>697.22222222222229</v>
      </c>
    </row>
  </sheetData>
  <mergeCells count="34">
    <mergeCell ref="L40:O40"/>
    <mergeCell ref="B7:J7"/>
    <mergeCell ref="L8:O8"/>
    <mergeCell ref="C11:J11"/>
    <mergeCell ref="C12:J12"/>
    <mergeCell ref="C13:J13"/>
    <mergeCell ref="C14:J14"/>
    <mergeCell ref="C15:J15"/>
    <mergeCell ref="L17:O17"/>
    <mergeCell ref="B18:J18"/>
    <mergeCell ref="L31:O31"/>
    <mergeCell ref="B32:J32"/>
    <mergeCell ref="A79:D79"/>
    <mergeCell ref="B41:J41"/>
    <mergeCell ref="L47:O47"/>
    <mergeCell ref="B48:J48"/>
    <mergeCell ref="L54:O54"/>
    <mergeCell ref="B55:J55"/>
    <mergeCell ref="L61:O61"/>
    <mergeCell ref="B62:J62"/>
    <mergeCell ref="B68:J68"/>
    <mergeCell ref="L68:O68"/>
    <mergeCell ref="B75:J75"/>
    <mergeCell ref="A77:J77"/>
    <mergeCell ref="A136:D136"/>
    <mergeCell ref="A149:J149"/>
    <mergeCell ref="A151:D151"/>
    <mergeCell ref="A160:D160"/>
    <mergeCell ref="A88:D88"/>
    <mergeCell ref="A101:J101"/>
    <mergeCell ref="A103:D103"/>
    <mergeCell ref="A112:D112"/>
    <mergeCell ref="A125:J125"/>
    <mergeCell ref="A127:D127"/>
  </mergeCells>
  <pageMargins left="0.7" right="0.7" top="0.75" bottom="0.75" header="0.3" footer="0.3"/>
  <pageSetup scale="42" orientation="landscape" r:id="rId1"/>
  <rowBreaks count="1" manualBreakCount="1">
    <brk id="7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67"/>
  <sheetViews>
    <sheetView view="pageBreakPreview" topLeftCell="B1" zoomScale="70" zoomScaleNormal="50" zoomScaleSheetLayoutView="70" workbookViewId="0">
      <selection activeCell="C3" sqref="C3"/>
    </sheetView>
  </sheetViews>
  <sheetFormatPr defaultColWidth="10.109375" defaultRowHeight="14.4" x14ac:dyDescent="0.3"/>
  <cols>
    <col min="1" max="1" width="3.109375" style="1" customWidth="1"/>
    <col min="2" max="2" width="8.88671875" style="1" customWidth="1"/>
    <col min="3" max="3" width="37.88671875" style="1" customWidth="1"/>
    <col min="4" max="4" width="13.44140625" style="1" customWidth="1"/>
    <col min="5" max="5" width="13" style="1" bestFit="1" customWidth="1"/>
    <col min="6" max="6" width="16.44140625" style="1" bestFit="1" customWidth="1"/>
    <col min="7" max="7" width="14.5546875" style="1" bestFit="1" customWidth="1"/>
    <col min="8" max="8" width="8.44140625" style="1" customWidth="1"/>
    <col min="9" max="9" width="16.33203125" style="1" customWidth="1"/>
    <col min="10" max="10" width="11.5546875" style="1" customWidth="1"/>
    <col min="11" max="11" width="7.44140625" style="1" bestFit="1" customWidth="1"/>
    <col min="12" max="15" width="12.33203125" style="1" bestFit="1" customWidth="1"/>
    <col min="16" max="16" width="13.5546875" style="1" bestFit="1" customWidth="1"/>
    <col min="17" max="18" width="13.44140625" style="1" bestFit="1" customWidth="1"/>
    <col min="19" max="19" width="14" style="1" bestFit="1" customWidth="1"/>
    <col min="20" max="16384" width="10.109375" style="1"/>
  </cols>
  <sheetData>
    <row r="2" spans="2:19" ht="28.8" x14ac:dyDescent="0.3">
      <c r="B2" s="48">
        <v>1.3</v>
      </c>
      <c r="C2" s="65" t="s">
        <v>540</v>
      </c>
      <c r="D2" s="62" t="s">
        <v>26</v>
      </c>
      <c r="E2" s="62" t="s">
        <v>27</v>
      </c>
      <c r="F2" s="62" t="s">
        <v>28</v>
      </c>
      <c r="G2" s="62" t="s">
        <v>9</v>
      </c>
    </row>
    <row r="3" spans="2:19" x14ac:dyDescent="0.3">
      <c r="B3" s="51"/>
      <c r="C3" s="66" t="s">
        <v>587</v>
      </c>
      <c r="D3" s="67">
        <f>P24</f>
        <v>791583.33333333337</v>
      </c>
      <c r="E3" s="67">
        <f t="shared" ref="E3:F3" si="0">Q24</f>
        <v>1279950</v>
      </c>
      <c r="F3" s="67">
        <f t="shared" si="0"/>
        <v>1547720.0000000002</v>
      </c>
      <c r="G3" s="67">
        <f>D3+E3+F3</f>
        <v>3619253.333333334</v>
      </c>
    </row>
    <row r="4" spans="2:19" x14ac:dyDescent="0.3">
      <c r="B4" s="51"/>
      <c r="C4" s="68" t="s">
        <v>10</v>
      </c>
      <c r="D4" s="69">
        <f>D3</f>
        <v>791583.33333333337</v>
      </c>
      <c r="E4" s="69">
        <f t="shared" ref="E4:G4" si="1">E3</f>
        <v>1279950</v>
      </c>
      <c r="F4" s="69">
        <f t="shared" si="1"/>
        <v>1547720.0000000002</v>
      </c>
      <c r="G4" s="69">
        <f t="shared" si="1"/>
        <v>3619253.333333334</v>
      </c>
    </row>
    <row r="5" spans="2:19" x14ac:dyDescent="0.3">
      <c r="B5" s="135"/>
      <c r="C5" s="71"/>
      <c r="D5" s="72"/>
      <c r="E5" s="72"/>
      <c r="F5" s="72"/>
      <c r="G5" s="72"/>
    </row>
    <row r="6" spans="2:19" ht="15.75" customHeight="1" x14ac:dyDescent="0.3">
      <c r="B6" s="794" t="s">
        <v>34</v>
      </c>
      <c r="C6" s="794"/>
      <c r="D6" s="794"/>
      <c r="E6" s="794"/>
      <c r="F6" s="794"/>
      <c r="G6" s="794"/>
      <c r="H6" s="794"/>
      <c r="I6" s="794"/>
      <c r="J6" s="794"/>
      <c r="K6" s="3"/>
      <c r="L6" s="3"/>
      <c r="M6" s="3"/>
      <c r="N6" s="3"/>
      <c r="O6" s="3"/>
      <c r="P6" s="3"/>
      <c r="Q6" s="3"/>
      <c r="R6" s="3"/>
      <c r="S6" s="3"/>
    </row>
    <row r="7" spans="2:19" x14ac:dyDescent="0.3">
      <c r="B7" s="51"/>
      <c r="C7" s="73"/>
      <c r="D7" s="74"/>
      <c r="E7" s="74"/>
      <c r="F7" s="74"/>
      <c r="G7" s="74"/>
      <c r="H7" s="3"/>
      <c r="I7" s="3"/>
      <c r="J7" s="3"/>
      <c r="K7" s="3"/>
      <c r="L7" s="782" t="s">
        <v>26</v>
      </c>
      <c r="M7" s="782"/>
      <c r="N7" s="782"/>
      <c r="O7" s="782"/>
      <c r="P7" s="136" t="s">
        <v>26</v>
      </c>
      <c r="Q7" s="137" t="s">
        <v>27</v>
      </c>
      <c r="R7" s="137" t="s">
        <v>28</v>
      </c>
      <c r="S7" s="77" t="s">
        <v>19</v>
      </c>
    </row>
    <row r="8" spans="2:19" x14ac:dyDescent="0.3">
      <c r="B8" s="78"/>
      <c r="C8" s="73"/>
      <c r="D8" s="74"/>
      <c r="E8" s="74"/>
      <c r="F8" s="74"/>
      <c r="G8" s="74"/>
      <c r="H8" s="79"/>
      <c r="I8" s="3"/>
      <c r="J8" s="3"/>
      <c r="K8" s="3"/>
      <c r="L8" s="80" t="s">
        <v>36</v>
      </c>
      <c r="M8" s="80" t="s">
        <v>37</v>
      </c>
      <c r="N8" s="80" t="s">
        <v>38</v>
      </c>
      <c r="O8" s="80" t="s">
        <v>39</v>
      </c>
      <c r="P8" s="136" t="s">
        <v>9</v>
      </c>
      <c r="Q8" s="137" t="s">
        <v>9</v>
      </c>
      <c r="R8" s="137" t="s">
        <v>9</v>
      </c>
      <c r="S8" s="77"/>
    </row>
    <row r="9" spans="2:19" x14ac:dyDescent="0.3">
      <c r="B9" s="795" t="str">
        <f>B17</f>
        <v>1.3.1 a Supportive Supervision</v>
      </c>
      <c r="C9" s="796"/>
      <c r="D9" s="796"/>
      <c r="E9" s="796"/>
      <c r="F9" s="796"/>
      <c r="G9" s="796"/>
      <c r="H9" s="796"/>
      <c r="I9" s="796"/>
      <c r="J9" s="797"/>
      <c r="K9" s="3"/>
      <c r="L9" s="618"/>
      <c r="M9" s="618"/>
      <c r="N9" s="618"/>
      <c r="O9" s="618"/>
      <c r="P9" s="619"/>
      <c r="Q9" s="619"/>
      <c r="R9" s="619"/>
      <c r="S9" s="620"/>
    </row>
    <row r="10" spans="2:19" ht="24.75" customHeight="1" x14ac:dyDescent="0.3">
      <c r="B10" s="139">
        <v>1</v>
      </c>
      <c r="C10" s="787" t="str">
        <f>C19</f>
        <v>Consultation &amp; proposal discussion with Med College/ agencies for monitoring and supportive supervision - 1 Event</v>
      </c>
      <c r="D10" s="788"/>
      <c r="E10" s="788"/>
      <c r="F10" s="788"/>
      <c r="G10" s="788"/>
      <c r="H10" s="788"/>
      <c r="I10" s="788"/>
      <c r="J10" s="789"/>
      <c r="K10" s="3"/>
      <c r="L10" s="618"/>
      <c r="M10" s="618"/>
      <c r="N10" s="618">
        <v>3</v>
      </c>
      <c r="O10" s="618">
        <v>3</v>
      </c>
      <c r="P10" s="619">
        <v>6</v>
      </c>
      <c r="Q10" s="619">
        <v>3</v>
      </c>
      <c r="R10" s="619"/>
      <c r="S10" s="620">
        <v>9</v>
      </c>
    </row>
    <row r="11" spans="2:19" ht="22.5" customHeight="1" x14ac:dyDescent="0.3">
      <c r="B11" s="139">
        <v>2</v>
      </c>
      <c r="C11" s="787" t="str">
        <f t="shared" ref="C11:C13" si="2">C20</f>
        <v>Orientation and briefing  x 9 States (9 Events)</v>
      </c>
      <c r="D11" s="788"/>
      <c r="E11" s="788"/>
      <c r="F11" s="788"/>
      <c r="G11" s="788"/>
      <c r="H11" s="788"/>
      <c r="I11" s="788"/>
      <c r="J11" s="789"/>
      <c r="K11" s="3"/>
      <c r="L11" s="618"/>
      <c r="M11" s="618"/>
      <c r="N11" s="618"/>
      <c r="O11" s="618">
        <v>3</v>
      </c>
      <c r="P11" s="621">
        <v>3</v>
      </c>
      <c r="Q11" s="619">
        <v>6</v>
      </c>
      <c r="R11" s="619"/>
      <c r="S11" s="620">
        <v>9</v>
      </c>
    </row>
    <row r="12" spans="2:19" ht="18" customHeight="1" x14ac:dyDescent="0.3">
      <c r="B12" s="139">
        <v>3</v>
      </c>
      <c r="C12" s="787" t="str">
        <f t="shared" si="2"/>
        <v>Half Yearly review meeting with monitors and sharing (2 times a year x 9 States)- 18 events per year</v>
      </c>
      <c r="D12" s="788"/>
      <c r="E12" s="788"/>
      <c r="F12" s="788"/>
      <c r="G12" s="788"/>
      <c r="H12" s="788"/>
      <c r="I12" s="788"/>
      <c r="J12" s="789"/>
      <c r="K12" s="3"/>
      <c r="L12" s="618"/>
      <c r="M12" s="618"/>
      <c r="N12" s="618"/>
      <c r="O12" s="618"/>
      <c r="P12" s="619"/>
      <c r="Q12" s="619">
        <v>6</v>
      </c>
      <c r="R12" s="619">
        <v>12</v>
      </c>
      <c r="S12" s="622">
        <v>18</v>
      </c>
    </row>
    <row r="13" spans="2:19" ht="19.5" customHeight="1" x14ac:dyDescent="0.3">
      <c r="B13" s="139">
        <v>4</v>
      </c>
      <c r="C13" s="787" t="str">
        <f t="shared" si="2"/>
        <v>Supportive supervision cum monitoring visits. 12 visits by 10 monitors per year for 2 years in 9 States @ INR 28,500 per visit</v>
      </c>
      <c r="D13" s="788"/>
      <c r="E13" s="788"/>
      <c r="F13" s="788"/>
      <c r="G13" s="788"/>
      <c r="H13" s="788"/>
      <c r="I13" s="788"/>
      <c r="J13" s="789"/>
      <c r="K13" s="3"/>
      <c r="L13" s="618"/>
      <c r="M13" s="618"/>
      <c r="N13" s="618"/>
      <c r="O13" s="618"/>
      <c r="P13" s="619"/>
      <c r="Q13" s="621">
        <f>270*2</f>
        <v>540</v>
      </c>
      <c r="R13" s="621">
        <f>270*4</f>
        <v>1080</v>
      </c>
      <c r="S13" s="622">
        <f>SUM(Q13:R13)</f>
        <v>1620</v>
      </c>
    </row>
    <row r="14" spans="2:19" x14ac:dyDescent="0.3">
      <c r="B14" s="623">
        <v>5</v>
      </c>
      <c r="C14" s="792" t="s">
        <v>541</v>
      </c>
      <c r="D14" s="792"/>
      <c r="E14" s="792"/>
      <c r="F14" s="792"/>
      <c r="G14" s="792"/>
      <c r="H14" s="792"/>
      <c r="I14" s="792"/>
      <c r="J14" s="792"/>
      <c r="K14" s="3"/>
      <c r="L14" s="618">
        <v>12</v>
      </c>
      <c r="M14" s="618">
        <v>12</v>
      </c>
      <c r="N14" s="618">
        <v>12</v>
      </c>
      <c r="O14" s="618">
        <v>12</v>
      </c>
      <c r="P14" s="619">
        <v>12</v>
      </c>
      <c r="Q14" s="619">
        <v>12</v>
      </c>
      <c r="R14" s="619">
        <v>12</v>
      </c>
      <c r="S14" s="620">
        <v>12</v>
      </c>
    </row>
    <row r="15" spans="2:19" x14ac:dyDescent="0.3">
      <c r="B15" s="624"/>
      <c r="C15" s="625"/>
      <c r="D15" s="625"/>
      <c r="E15" s="625"/>
      <c r="F15" s="625"/>
      <c r="G15" s="625"/>
      <c r="H15" s="625"/>
      <c r="I15" s="625"/>
      <c r="J15" s="625"/>
    </row>
    <row r="16" spans="2:19" s="2" customFormat="1" x14ac:dyDescent="0.3">
      <c r="L16" s="778" t="s">
        <v>26</v>
      </c>
      <c r="M16" s="778"/>
      <c r="N16" s="778"/>
      <c r="O16" s="778"/>
      <c r="P16" s="140" t="s">
        <v>26</v>
      </c>
      <c r="Q16" s="141" t="s">
        <v>27</v>
      </c>
      <c r="R16" s="141" t="s">
        <v>28</v>
      </c>
      <c r="S16" s="86" t="s">
        <v>19</v>
      </c>
    </row>
    <row r="17" spans="2:19" x14ac:dyDescent="0.3">
      <c r="B17" s="790" t="s">
        <v>542</v>
      </c>
      <c r="C17" s="790"/>
      <c r="D17" s="790"/>
      <c r="E17" s="790"/>
      <c r="F17" s="790"/>
      <c r="G17" s="790"/>
      <c r="H17" s="790"/>
      <c r="I17" s="790"/>
      <c r="J17" s="790"/>
      <c r="K17" s="3"/>
      <c r="L17" s="80" t="s">
        <v>36</v>
      </c>
      <c r="M17" s="80" t="s">
        <v>37</v>
      </c>
      <c r="N17" s="80" t="s">
        <v>38</v>
      </c>
      <c r="O17" s="80" t="s">
        <v>39</v>
      </c>
      <c r="P17" s="136" t="s">
        <v>9</v>
      </c>
      <c r="Q17" s="142" t="s">
        <v>9</v>
      </c>
      <c r="R17" s="142" t="s">
        <v>9</v>
      </c>
      <c r="S17" s="77"/>
    </row>
    <row r="18" spans="2:19" ht="28.8" x14ac:dyDescent="0.3">
      <c r="B18" s="87"/>
      <c r="C18" s="87" t="s">
        <v>145</v>
      </c>
      <c r="D18" s="87" t="s">
        <v>79</v>
      </c>
      <c r="E18" s="87" t="s">
        <v>80</v>
      </c>
      <c r="F18" s="87" t="s">
        <v>146</v>
      </c>
      <c r="G18" s="87" t="s">
        <v>147</v>
      </c>
      <c r="H18" s="87" t="s">
        <v>148</v>
      </c>
      <c r="I18" s="88" t="s">
        <v>65</v>
      </c>
      <c r="J18" s="88" t="s">
        <v>81</v>
      </c>
      <c r="K18" s="3"/>
      <c r="L18" s="89"/>
      <c r="M18" s="89"/>
      <c r="N18" s="89"/>
      <c r="O18" s="89"/>
      <c r="P18" s="142"/>
      <c r="Q18" s="142"/>
      <c r="R18" s="142"/>
      <c r="S18" s="77"/>
    </row>
    <row r="19" spans="2:19" ht="43.2" x14ac:dyDescent="0.3">
      <c r="B19" s="90">
        <v>1</v>
      </c>
      <c r="C19" s="143" t="s">
        <v>176</v>
      </c>
      <c r="D19" s="90"/>
      <c r="E19" s="91">
        <v>1</v>
      </c>
      <c r="F19" s="92">
        <f>K67</f>
        <v>54300</v>
      </c>
      <c r="G19" s="90">
        <v>1</v>
      </c>
      <c r="H19" s="90">
        <v>25</v>
      </c>
      <c r="I19" s="93">
        <f>E19*F19*G19*H19</f>
        <v>1357500</v>
      </c>
      <c r="J19" s="94">
        <f t="shared" ref="J19:J21" si="3">I19/54</f>
        <v>25138.888888888891</v>
      </c>
      <c r="K19" s="3"/>
      <c r="L19" s="89"/>
      <c r="M19" s="89"/>
      <c r="N19" s="89">
        <f>J19*3</f>
        <v>75416.666666666672</v>
      </c>
      <c r="O19" s="89">
        <f>J19*3</f>
        <v>75416.666666666672</v>
      </c>
      <c r="P19" s="142">
        <f>L19+M19+N19+O19</f>
        <v>150833.33333333334</v>
      </c>
      <c r="Q19" s="142">
        <f>J19*3</f>
        <v>75416.666666666672</v>
      </c>
      <c r="R19" s="142"/>
      <c r="S19" s="77">
        <f>P19+Q19+R19</f>
        <v>226250</v>
      </c>
    </row>
    <row r="20" spans="2:19" ht="28.8" x14ac:dyDescent="0.3">
      <c r="B20" s="90">
        <v>2</v>
      </c>
      <c r="C20" s="143" t="s">
        <v>177</v>
      </c>
      <c r="D20" s="90"/>
      <c r="E20" s="91">
        <v>1</v>
      </c>
      <c r="F20" s="92">
        <f>K67</f>
        <v>54300</v>
      </c>
      <c r="G20" s="90">
        <v>1</v>
      </c>
      <c r="H20" s="90">
        <v>25</v>
      </c>
      <c r="I20" s="93">
        <f>E20*F20*G20*H20</f>
        <v>1357500</v>
      </c>
      <c r="J20" s="94">
        <f t="shared" si="3"/>
        <v>25138.888888888891</v>
      </c>
      <c r="K20" s="3"/>
      <c r="L20" s="89"/>
      <c r="M20" s="89"/>
      <c r="N20" s="89"/>
      <c r="O20" s="89">
        <f>J20*3</f>
        <v>75416.666666666672</v>
      </c>
      <c r="P20" s="142">
        <f t="shared" ref="P20:P21" si="4">L20+M20+N20+O20</f>
        <v>75416.666666666672</v>
      </c>
      <c r="Q20" s="142">
        <f>J20*6</f>
        <v>150833.33333333334</v>
      </c>
      <c r="R20" s="142"/>
      <c r="S20" s="77">
        <f t="shared" ref="S20:S21" si="5">P20+Q20+R20</f>
        <v>226250</v>
      </c>
    </row>
    <row r="21" spans="2:19" ht="43.2" x14ac:dyDescent="0.3">
      <c r="B21" s="90">
        <v>3</v>
      </c>
      <c r="C21" s="143" t="s">
        <v>178</v>
      </c>
      <c r="D21" s="90"/>
      <c r="E21" s="91">
        <v>1</v>
      </c>
      <c r="F21" s="92">
        <f>K67</f>
        <v>54300</v>
      </c>
      <c r="G21" s="90">
        <v>1</v>
      </c>
      <c r="H21" s="90">
        <v>25</v>
      </c>
      <c r="I21" s="93">
        <f>E21*F21*G21*H21</f>
        <v>1357500</v>
      </c>
      <c r="J21" s="94">
        <f t="shared" si="3"/>
        <v>25138.888888888891</v>
      </c>
      <c r="K21" s="3"/>
      <c r="L21" s="89"/>
      <c r="M21" s="89"/>
      <c r="N21" s="89"/>
      <c r="O21" s="89"/>
      <c r="P21" s="142">
        <f t="shared" si="4"/>
        <v>0</v>
      </c>
      <c r="Q21" s="142">
        <f>J21*6</f>
        <v>150833.33333333334</v>
      </c>
      <c r="R21" s="142">
        <f>J21*12</f>
        <v>301666.66666666669</v>
      </c>
      <c r="S21" s="77">
        <f t="shared" si="5"/>
        <v>452500</v>
      </c>
    </row>
    <row r="22" spans="2:19" ht="43.2" x14ac:dyDescent="0.3">
      <c r="B22" s="91">
        <v>4</v>
      </c>
      <c r="C22" s="143" t="s">
        <v>179</v>
      </c>
      <c r="D22" s="91"/>
      <c r="E22" s="91">
        <v>1</v>
      </c>
      <c r="F22" s="144">
        <f>I43</f>
        <v>45522000</v>
      </c>
      <c r="G22" s="91">
        <v>1</v>
      </c>
      <c r="H22" s="91">
        <v>1</v>
      </c>
      <c r="I22" s="145">
        <f>E22*F22*G22*H22</f>
        <v>45522000</v>
      </c>
      <c r="J22" s="146">
        <f>I22/54</f>
        <v>843000</v>
      </c>
      <c r="K22" s="79"/>
      <c r="L22" s="147"/>
      <c r="M22" s="147"/>
      <c r="N22" s="147"/>
      <c r="O22" s="147"/>
      <c r="P22" s="142"/>
      <c r="Q22" s="142">
        <f>J22/3</f>
        <v>281000</v>
      </c>
      <c r="R22" s="142">
        <f>J22*2/3</f>
        <v>562000</v>
      </c>
      <c r="S22" s="77">
        <f>P22+Q22+R22</f>
        <v>843000</v>
      </c>
    </row>
    <row r="23" spans="2:19" s="635" customFormat="1" ht="48.75" customHeight="1" x14ac:dyDescent="0.3">
      <c r="B23" s="626">
        <v>5</v>
      </c>
      <c r="C23" s="627" t="s">
        <v>543</v>
      </c>
      <c r="D23" s="626"/>
      <c r="E23" s="626">
        <v>12</v>
      </c>
      <c r="F23" s="628">
        <v>212000</v>
      </c>
      <c r="G23" s="626">
        <v>12</v>
      </c>
      <c r="H23" s="626">
        <v>1</v>
      </c>
      <c r="I23" s="629">
        <f>E23*F23*G23*H23</f>
        <v>30528000</v>
      </c>
      <c r="J23" s="630">
        <f>I23/54</f>
        <v>565333.33333333337</v>
      </c>
      <c r="K23" s="631"/>
      <c r="L23" s="632">
        <f>J23/4</f>
        <v>141333.33333333334</v>
      </c>
      <c r="M23" s="632">
        <f>L23</f>
        <v>141333.33333333334</v>
      </c>
      <c r="N23" s="632">
        <f t="shared" ref="N23:O23" si="6">M23</f>
        <v>141333.33333333334</v>
      </c>
      <c r="O23" s="632">
        <f t="shared" si="6"/>
        <v>141333.33333333334</v>
      </c>
      <c r="P23" s="633">
        <f>L23+M23+N23+O23</f>
        <v>565333.33333333337</v>
      </c>
      <c r="Q23" s="633">
        <f>P23*1.1</f>
        <v>621866.66666666674</v>
      </c>
      <c r="R23" s="633">
        <f>Q23*1.1</f>
        <v>684053.33333333349</v>
      </c>
      <c r="S23" s="634">
        <f>P23+Q23+R23</f>
        <v>1871253.3333333335</v>
      </c>
    </row>
    <row r="24" spans="2:19" s="97" customFormat="1" x14ac:dyDescent="0.3">
      <c r="B24" s="98"/>
      <c r="C24" s="98" t="s">
        <v>56</v>
      </c>
      <c r="D24" s="98"/>
      <c r="E24" s="98"/>
      <c r="F24" s="98"/>
      <c r="G24" s="98"/>
      <c r="H24" s="98"/>
      <c r="I24" s="99">
        <f>SUM(I19:I21)</f>
        <v>4072500</v>
      </c>
      <c r="J24" s="99">
        <f>SUM(J19:J21)</f>
        <v>75416.666666666672</v>
      </c>
      <c r="K24" s="98"/>
      <c r="L24" s="100">
        <f>L19+L20+L21+L22+L23</f>
        <v>141333.33333333334</v>
      </c>
      <c r="M24" s="100">
        <f t="shared" ref="M24:S24" si="7">M19+M20+M21+M22+M23</f>
        <v>141333.33333333334</v>
      </c>
      <c r="N24" s="100">
        <f t="shared" si="7"/>
        <v>216750</v>
      </c>
      <c r="O24" s="100">
        <f t="shared" si="7"/>
        <v>292166.66666666669</v>
      </c>
      <c r="P24" s="100">
        <f t="shared" si="7"/>
        <v>791583.33333333337</v>
      </c>
      <c r="Q24" s="100">
        <f t="shared" si="7"/>
        <v>1279950</v>
      </c>
      <c r="R24" s="100">
        <f t="shared" si="7"/>
        <v>1547720.0000000002</v>
      </c>
      <c r="S24" s="100">
        <f t="shared" si="7"/>
        <v>3619253.3333333335</v>
      </c>
    </row>
    <row r="25" spans="2:19" s="383" customFormat="1" x14ac:dyDescent="0.3">
      <c r="B25" s="384"/>
      <c r="C25" s="384"/>
      <c r="D25" s="384"/>
      <c r="E25" s="384"/>
      <c r="F25" s="384"/>
      <c r="G25" s="384"/>
      <c r="H25" s="384"/>
      <c r="I25" s="385"/>
      <c r="J25" s="385"/>
      <c r="K25" s="384"/>
      <c r="L25" s="386"/>
      <c r="M25" s="386"/>
      <c r="N25" s="386"/>
      <c r="O25" s="386"/>
      <c r="P25" s="386"/>
      <c r="Q25" s="386"/>
      <c r="R25" s="386"/>
      <c r="S25" s="386"/>
    </row>
    <row r="26" spans="2:19" s="2" customFormat="1" x14ac:dyDescent="0.3">
      <c r="L26" s="778" t="s">
        <v>26</v>
      </c>
      <c r="M26" s="778"/>
      <c r="N26" s="778"/>
      <c r="O26" s="778"/>
      <c r="P26" s="84" t="s">
        <v>26</v>
      </c>
      <c r="Q26" s="85" t="s">
        <v>27</v>
      </c>
      <c r="R26" s="85" t="s">
        <v>28</v>
      </c>
      <c r="S26" s="86" t="s">
        <v>9</v>
      </c>
    </row>
    <row r="27" spans="2:19" s="148" customFormat="1" x14ac:dyDescent="0.3">
      <c r="B27" s="779" t="s">
        <v>59</v>
      </c>
      <c r="C27" s="780"/>
      <c r="D27" s="780"/>
      <c r="E27" s="780"/>
      <c r="F27" s="780"/>
      <c r="G27" s="780"/>
      <c r="H27" s="780"/>
      <c r="I27" s="780"/>
      <c r="J27" s="781"/>
      <c r="L27" s="782" t="s">
        <v>26</v>
      </c>
      <c r="M27" s="782"/>
      <c r="N27" s="782"/>
      <c r="O27" s="782"/>
      <c r="P27" s="75">
        <f>P18</f>
        <v>0</v>
      </c>
      <c r="Q27" s="76" t="s">
        <v>27</v>
      </c>
      <c r="R27" s="76" t="s">
        <v>28</v>
      </c>
      <c r="S27" s="77" t="s">
        <v>9</v>
      </c>
    </row>
    <row r="28" spans="2:19" s="148" customFormat="1" x14ac:dyDescent="0.3">
      <c r="B28" s="378"/>
      <c r="C28" s="378"/>
      <c r="D28" s="378"/>
      <c r="E28" s="356"/>
      <c r="F28" s="378"/>
      <c r="G28" s="378"/>
      <c r="H28" s="379"/>
      <c r="I28" s="380"/>
      <c r="J28" s="380"/>
      <c r="L28" s="80" t="s">
        <v>36</v>
      </c>
      <c r="M28" s="80" t="s">
        <v>37</v>
      </c>
      <c r="N28" s="80" t="s">
        <v>38</v>
      </c>
      <c r="O28" s="80" t="s">
        <v>39</v>
      </c>
      <c r="P28" s="75" t="s">
        <v>9</v>
      </c>
      <c r="Q28" s="81" t="s">
        <v>9</v>
      </c>
      <c r="R28" s="81" t="s">
        <v>9</v>
      </c>
      <c r="S28" s="77"/>
    </row>
    <row r="29" spans="2:19" s="148" customFormat="1" x14ac:dyDescent="0.3">
      <c r="B29" s="378">
        <f>B2</f>
        <v>1.3</v>
      </c>
      <c r="C29" s="378" t="str">
        <f>C2</f>
        <v>Supportive Supervision to ensure quality implementation</v>
      </c>
      <c r="D29" s="378"/>
      <c r="E29" s="356"/>
      <c r="F29" s="378"/>
      <c r="G29" s="378"/>
      <c r="H29" s="379"/>
      <c r="I29" s="380"/>
      <c r="J29" s="380"/>
      <c r="L29" s="381">
        <f t="shared" ref="L29:S29" si="8">L24</f>
        <v>141333.33333333334</v>
      </c>
      <c r="M29" s="381">
        <f t="shared" si="8"/>
        <v>141333.33333333334</v>
      </c>
      <c r="N29" s="381">
        <f t="shared" si="8"/>
        <v>216750</v>
      </c>
      <c r="O29" s="381">
        <f t="shared" si="8"/>
        <v>292166.66666666669</v>
      </c>
      <c r="P29" s="381">
        <f t="shared" si="8"/>
        <v>791583.33333333337</v>
      </c>
      <c r="Q29" s="381">
        <f t="shared" si="8"/>
        <v>1279950</v>
      </c>
      <c r="R29" s="381">
        <f t="shared" si="8"/>
        <v>1547720.0000000002</v>
      </c>
      <c r="S29" s="381">
        <f t="shared" si="8"/>
        <v>3619253.3333333335</v>
      </c>
    </row>
    <row r="30" spans="2:19" s="148" customFormat="1" x14ac:dyDescent="0.3">
      <c r="B30" s="378"/>
      <c r="C30" s="378"/>
      <c r="D30" s="378"/>
      <c r="E30" s="356"/>
      <c r="F30" s="378"/>
      <c r="G30" s="378"/>
      <c r="H30" s="379"/>
      <c r="I30" s="380"/>
      <c r="J30" s="380"/>
      <c r="L30" s="147"/>
      <c r="M30" s="147"/>
      <c r="N30" s="147"/>
      <c r="O30" s="147"/>
      <c r="P30" s="147"/>
      <c r="Q30" s="147"/>
      <c r="R30" s="147"/>
      <c r="S30" s="147"/>
    </row>
    <row r="31" spans="2:19" s="148" customFormat="1" x14ac:dyDescent="0.3">
      <c r="B31" s="378"/>
      <c r="C31" s="378"/>
      <c r="D31" s="378"/>
      <c r="E31" s="356"/>
      <c r="F31" s="378"/>
      <c r="G31" s="378"/>
      <c r="H31" s="379"/>
      <c r="I31" s="380"/>
      <c r="J31" s="380"/>
      <c r="L31" s="79"/>
      <c r="M31" s="79"/>
      <c r="N31" s="79"/>
      <c r="O31" s="381"/>
      <c r="P31" s="382"/>
      <c r="Q31" s="382"/>
      <c r="R31" s="382"/>
      <c r="S31" s="382"/>
    </row>
    <row r="32" spans="2:19" s="148" customFormat="1" x14ac:dyDescent="0.3">
      <c r="B32" s="378"/>
      <c r="C32" s="378"/>
      <c r="D32" s="378"/>
      <c r="E32" s="356"/>
      <c r="F32" s="378"/>
      <c r="G32" s="378"/>
      <c r="H32" s="379"/>
      <c r="I32" s="380"/>
      <c r="J32" s="380"/>
      <c r="L32" s="79"/>
      <c r="M32" s="79"/>
      <c r="N32" s="79"/>
      <c r="O32" s="381"/>
      <c r="P32" s="382"/>
      <c r="Q32" s="382"/>
      <c r="R32" s="382"/>
      <c r="S32" s="382"/>
    </row>
    <row r="34" spans="1:19" x14ac:dyDescent="0.3">
      <c r="B34" s="783" t="s">
        <v>61</v>
      </c>
      <c r="C34" s="783"/>
      <c r="D34" s="783"/>
      <c r="E34" s="783"/>
      <c r="F34" s="783"/>
      <c r="G34" s="783"/>
      <c r="H34" s="783"/>
      <c r="I34" s="783"/>
      <c r="J34" s="783"/>
    </row>
    <row r="35" spans="1:19" x14ac:dyDescent="0.3">
      <c r="M35" s="4"/>
      <c r="N35" s="4"/>
      <c r="O35" s="4"/>
      <c r="P35" s="4"/>
      <c r="Q35" s="4"/>
      <c r="R35" s="4"/>
      <c r="S35" s="4"/>
    </row>
    <row r="36" spans="1:19" x14ac:dyDescent="0.3">
      <c r="A36" s="101"/>
      <c r="B36" s="772" t="s">
        <v>544</v>
      </c>
      <c r="C36" s="773"/>
      <c r="D36" s="773"/>
      <c r="E36" s="773"/>
      <c r="F36" s="773"/>
      <c r="G36" s="773"/>
      <c r="H36" s="773"/>
      <c r="I36" s="773"/>
      <c r="J36" s="791"/>
      <c r="L36" s="4"/>
      <c r="M36" s="4"/>
      <c r="N36" s="4"/>
      <c r="O36" s="4"/>
      <c r="P36" s="4"/>
      <c r="Q36" s="4"/>
      <c r="R36" s="4"/>
      <c r="S36" s="4"/>
    </row>
    <row r="37" spans="1:19" x14ac:dyDescent="0.3">
      <c r="A37" s="102"/>
      <c r="B37" s="103"/>
      <c r="C37" s="26" t="s">
        <v>4</v>
      </c>
      <c r="D37" s="26" t="s">
        <v>80</v>
      </c>
      <c r="E37" s="26" t="s">
        <v>158</v>
      </c>
      <c r="F37" s="26" t="s">
        <v>159</v>
      </c>
      <c r="G37" s="26" t="s">
        <v>160</v>
      </c>
      <c r="H37" s="27" t="s">
        <v>53</v>
      </c>
      <c r="I37" s="28" t="s">
        <v>65</v>
      </c>
      <c r="J37" s="28" t="s">
        <v>81</v>
      </c>
      <c r="L37" s="4"/>
      <c r="M37" s="793"/>
      <c r="N37" s="793"/>
      <c r="O37" s="793"/>
      <c r="P37" s="793"/>
      <c r="Q37" s="793"/>
      <c r="R37" s="793"/>
      <c r="S37" s="793"/>
    </row>
    <row r="38" spans="1:19" x14ac:dyDescent="0.3">
      <c r="A38" s="104"/>
      <c r="B38" s="105"/>
      <c r="C38" s="106"/>
      <c r="D38" s="107"/>
      <c r="E38" s="107"/>
      <c r="F38" s="107"/>
      <c r="G38" s="107"/>
      <c r="H38" s="108"/>
      <c r="I38" s="107"/>
      <c r="J38" s="107"/>
      <c r="L38" s="4"/>
      <c r="M38" s="793"/>
      <c r="N38" s="793"/>
      <c r="O38" s="793"/>
      <c r="P38" s="793"/>
      <c r="Q38" s="793"/>
      <c r="R38" s="793"/>
      <c r="S38" s="793"/>
    </row>
    <row r="39" spans="1:19" x14ac:dyDescent="0.3">
      <c r="A39" s="109"/>
      <c r="B39" s="110"/>
      <c r="C39" s="3" t="s">
        <v>94</v>
      </c>
      <c r="D39" s="3">
        <v>10</v>
      </c>
      <c r="E39" s="111">
        <v>8000</v>
      </c>
      <c r="F39" s="3">
        <v>1</v>
      </c>
      <c r="G39" s="3">
        <v>1</v>
      </c>
      <c r="H39" s="16">
        <v>1</v>
      </c>
      <c r="I39" s="24">
        <f t="shared" ref="I39:I41" si="9">D39*E39*F39*H39*G39</f>
        <v>80000</v>
      </c>
      <c r="J39" s="112">
        <f t="shared" ref="J39:J41" si="10">I39/54</f>
        <v>1481.4814814814815</v>
      </c>
      <c r="L39" s="4"/>
      <c r="M39" s="793"/>
      <c r="N39" s="793"/>
      <c r="O39" s="793"/>
      <c r="P39" s="793"/>
      <c r="Q39" s="793"/>
      <c r="R39" s="793"/>
      <c r="S39" s="793"/>
    </row>
    <row r="40" spans="1:19" x14ac:dyDescent="0.3">
      <c r="A40" s="109"/>
      <c r="B40" s="110"/>
      <c r="C40" s="3" t="s">
        <v>96</v>
      </c>
      <c r="D40" s="79">
        <v>10</v>
      </c>
      <c r="E40" s="111">
        <v>20000</v>
      </c>
      <c r="F40" s="3">
        <v>1</v>
      </c>
      <c r="G40" s="3">
        <v>1</v>
      </c>
      <c r="H40" s="16">
        <v>1</v>
      </c>
      <c r="I40" s="24">
        <f t="shared" si="9"/>
        <v>200000</v>
      </c>
      <c r="J40" s="112">
        <f t="shared" si="10"/>
        <v>3703.7037037037039</v>
      </c>
      <c r="L40" s="4"/>
      <c r="M40" s="793"/>
      <c r="N40" s="793"/>
      <c r="O40" s="793"/>
      <c r="P40" s="793"/>
      <c r="Q40" s="793"/>
      <c r="R40" s="793"/>
      <c r="S40" s="793"/>
    </row>
    <row r="41" spans="1:19" x14ac:dyDescent="0.3">
      <c r="A41" s="109"/>
      <c r="B41" s="110"/>
      <c r="C41" s="3" t="s">
        <v>545</v>
      </c>
      <c r="D41" s="79">
        <v>2</v>
      </c>
      <c r="E41" s="111">
        <v>500</v>
      </c>
      <c r="F41" s="3">
        <v>1</v>
      </c>
      <c r="G41" s="3">
        <v>1</v>
      </c>
      <c r="H41" s="16">
        <v>1</v>
      </c>
      <c r="I41" s="24">
        <f t="shared" si="9"/>
        <v>1000</v>
      </c>
      <c r="J41" s="112">
        <f t="shared" si="10"/>
        <v>18.518518518518519</v>
      </c>
      <c r="L41" s="4"/>
      <c r="M41" s="793"/>
      <c r="N41" s="793"/>
      <c r="O41" s="793"/>
      <c r="P41" s="793"/>
      <c r="Q41" s="793"/>
      <c r="R41" s="793"/>
      <c r="S41" s="793"/>
    </row>
    <row r="42" spans="1:19" x14ac:dyDescent="0.3">
      <c r="A42" s="102"/>
      <c r="B42" s="115"/>
      <c r="C42" s="116" t="s">
        <v>56</v>
      </c>
      <c r="D42" s="116"/>
      <c r="E42" s="117"/>
      <c r="F42" s="116"/>
      <c r="G42" s="116"/>
      <c r="H42" s="118"/>
      <c r="I42" s="119">
        <f>SUM(I39:I41)</f>
        <v>281000</v>
      </c>
      <c r="J42" s="119">
        <f>SUM(J39:J41)</f>
        <v>5203.7037037037035</v>
      </c>
      <c r="K42" s="148"/>
      <c r="L42" s="4"/>
      <c r="M42" s="793"/>
      <c r="N42" s="793"/>
      <c r="O42" s="793"/>
      <c r="P42" s="793"/>
      <c r="Q42" s="793"/>
      <c r="R42" s="793"/>
      <c r="S42" s="793"/>
    </row>
    <row r="43" spans="1:19" x14ac:dyDescent="0.3">
      <c r="C43" s="149" t="s">
        <v>19</v>
      </c>
      <c r="I43" s="134">
        <f>I42*9*18</f>
        <v>45522000</v>
      </c>
      <c r="J43" s="134">
        <f>I43/54</f>
        <v>843000</v>
      </c>
      <c r="L43" s="4"/>
      <c r="M43" s="793"/>
      <c r="N43" s="793"/>
      <c r="O43" s="793"/>
      <c r="P43" s="793"/>
      <c r="Q43" s="793"/>
      <c r="R43" s="793"/>
      <c r="S43" s="793"/>
    </row>
    <row r="44" spans="1:19" x14ac:dyDescent="0.3">
      <c r="J44" s="134">
        <f>J43/3</f>
        <v>281000</v>
      </c>
      <c r="L44" s="4"/>
      <c r="M44" s="4"/>
      <c r="N44" s="4"/>
      <c r="O44" s="4"/>
      <c r="P44" s="4"/>
      <c r="Q44" s="4"/>
      <c r="R44" s="4"/>
      <c r="S44" s="4"/>
    </row>
    <row r="45" spans="1:19" x14ac:dyDescent="0.3">
      <c r="A45" s="772" t="str">
        <f>B17</f>
        <v>1.3.1 a Supportive Supervision</v>
      </c>
      <c r="B45" s="773"/>
      <c r="C45" s="773"/>
      <c r="D45" s="773"/>
      <c r="E45" s="773"/>
      <c r="F45" s="773"/>
      <c r="G45" s="773"/>
      <c r="H45" s="773"/>
      <c r="I45" s="773"/>
      <c r="J45" s="773"/>
      <c r="L45" s="636"/>
      <c r="M45" s="636"/>
      <c r="N45" s="636"/>
      <c r="O45" s="636"/>
      <c r="P45" s="636"/>
      <c r="Q45" s="636"/>
      <c r="R45" s="636"/>
      <c r="S45" s="636"/>
    </row>
    <row r="46" spans="1:19" x14ac:dyDescent="0.3">
      <c r="A46" s="26"/>
      <c r="B46" s="26"/>
      <c r="C46" s="26" t="s">
        <v>4</v>
      </c>
      <c r="D46" s="26" t="s">
        <v>79</v>
      </c>
      <c r="E46" s="26" t="s">
        <v>80</v>
      </c>
      <c r="F46" s="26" t="s">
        <v>50</v>
      </c>
      <c r="G46" s="26" t="s">
        <v>57</v>
      </c>
      <c r="H46" s="27" t="s">
        <v>53</v>
      </c>
      <c r="I46" s="28" t="s">
        <v>65</v>
      </c>
      <c r="J46" s="28" t="s">
        <v>81</v>
      </c>
    </row>
    <row r="47" spans="1:19" x14ac:dyDescent="0.3">
      <c r="A47" s="774"/>
      <c r="B47" s="775"/>
      <c r="C47" s="775"/>
      <c r="D47" s="776"/>
      <c r="E47" s="107"/>
      <c r="F47" s="107"/>
      <c r="G47" s="107"/>
      <c r="H47" s="108"/>
      <c r="I47" s="107"/>
      <c r="J47" s="107"/>
    </row>
    <row r="48" spans="1:19" x14ac:dyDescent="0.3">
      <c r="A48" s="3">
        <v>1</v>
      </c>
      <c r="B48" s="3" t="s">
        <v>108</v>
      </c>
      <c r="C48" s="3"/>
      <c r="D48" s="3"/>
      <c r="E48" s="3"/>
      <c r="F48" s="3"/>
      <c r="G48" s="3"/>
      <c r="H48" s="16"/>
      <c r="I48" s="3"/>
      <c r="J48" s="3"/>
    </row>
    <row r="49" spans="1:10" x14ac:dyDescent="0.3">
      <c r="A49" s="3"/>
      <c r="B49" s="3" t="s">
        <v>84</v>
      </c>
      <c r="C49" s="3"/>
      <c r="D49" s="3" t="s">
        <v>85</v>
      </c>
      <c r="E49" s="3">
        <v>2</v>
      </c>
      <c r="F49" s="111">
        <v>15000</v>
      </c>
      <c r="G49" s="3">
        <v>4</v>
      </c>
      <c r="H49" s="16">
        <v>1</v>
      </c>
      <c r="I49" s="24">
        <f>E49*F49*G49*H49</f>
        <v>120000</v>
      </c>
      <c r="J49" s="112">
        <f>I49/54</f>
        <v>2222.2222222222222</v>
      </c>
    </row>
    <row r="50" spans="1:10" x14ac:dyDescent="0.3">
      <c r="A50" s="3"/>
      <c r="B50" s="3" t="s">
        <v>86</v>
      </c>
      <c r="C50" s="3" t="s">
        <v>87</v>
      </c>
      <c r="D50" s="3"/>
      <c r="E50" s="3"/>
      <c r="F50" s="111"/>
      <c r="G50" s="3"/>
      <c r="H50" s="16"/>
      <c r="I50" s="3"/>
      <c r="J50" s="112">
        <f t="shared" ref="J50:J53" si="11">I50/54</f>
        <v>0</v>
      </c>
    </row>
    <row r="51" spans="1:10" x14ac:dyDescent="0.3">
      <c r="A51" s="3"/>
      <c r="B51" s="3"/>
      <c r="C51" s="3" t="s">
        <v>88</v>
      </c>
      <c r="D51" s="3"/>
      <c r="E51" s="79">
        <v>2</v>
      </c>
      <c r="F51" s="111">
        <v>20000</v>
      </c>
      <c r="G51" s="3">
        <v>1</v>
      </c>
      <c r="H51" s="16">
        <v>1</v>
      </c>
      <c r="I51" s="24">
        <f>E51*F51*G51*H51</f>
        <v>40000</v>
      </c>
      <c r="J51" s="112">
        <f t="shared" si="11"/>
        <v>740.74074074074076</v>
      </c>
    </row>
    <row r="52" spans="1:10" x14ac:dyDescent="0.3">
      <c r="A52" s="3"/>
      <c r="B52" s="3"/>
      <c r="C52" s="3" t="s">
        <v>89</v>
      </c>
      <c r="D52" s="3"/>
      <c r="E52" s="79">
        <v>2</v>
      </c>
      <c r="F52" s="111">
        <v>2500</v>
      </c>
      <c r="G52" s="3">
        <v>4</v>
      </c>
      <c r="H52" s="16">
        <v>1</v>
      </c>
      <c r="I52" s="24">
        <f>E52*F52*G52*H52</f>
        <v>20000</v>
      </c>
      <c r="J52" s="112">
        <f t="shared" si="11"/>
        <v>370.37037037037038</v>
      </c>
    </row>
    <row r="53" spans="1:10" x14ac:dyDescent="0.3">
      <c r="A53" s="3"/>
      <c r="B53" s="3"/>
      <c r="C53" s="3" t="s">
        <v>90</v>
      </c>
      <c r="D53" s="3"/>
      <c r="E53" s="79">
        <v>2</v>
      </c>
      <c r="F53" s="111">
        <v>10000</v>
      </c>
      <c r="G53" s="3">
        <v>4</v>
      </c>
      <c r="H53" s="16">
        <v>1</v>
      </c>
      <c r="I53" s="24">
        <f>E53*F53*G53*H53</f>
        <v>80000</v>
      </c>
      <c r="J53" s="112">
        <f t="shared" si="11"/>
        <v>1481.4814814814815</v>
      </c>
    </row>
    <row r="54" spans="1:10" x14ac:dyDescent="0.3">
      <c r="A54" s="3"/>
      <c r="B54" s="3"/>
      <c r="C54" s="3"/>
      <c r="D54" s="82" t="s">
        <v>10</v>
      </c>
      <c r="E54" s="82"/>
      <c r="F54" s="122"/>
      <c r="G54" s="82"/>
      <c r="H54" s="123"/>
      <c r="I54" s="121">
        <f>SUM(I49:I53)</f>
        <v>260000</v>
      </c>
      <c r="J54" s="121">
        <f>SUM(J49:J53)</f>
        <v>4814.8148148148148</v>
      </c>
    </row>
    <row r="55" spans="1:10" x14ac:dyDescent="0.3">
      <c r="A55" s="96"/>
      <c r="B55" s="96"/>
      <c r="C55" s="96"/>
      <c r="D55" s="96"/>
      <c r="E55" s="96"/>
      <c r="F55" s="124"/>
      <c r="G55" s="96"/>
      <c r="H55" s="125"/>
      <c r="I55" s="126"/>
      <c r="J55" s="96"/>
    </row>
    <row r="56" spans="1:10" x14ac:dyDescent="0.3">
      <c r="A56" s="769" t="s">
        <v>180</v>
      </c>
      <c r="B56" s="770"/>
      <c r="C56" s="770"/>
      <c r="D56" s="771"/>
      <c r="E56" s="127"/>
      <c r="F56" s="128"/>
      <c r="G56" s="127"/>
      <c r="H56" s="129"/>
      <c r="I56" s="127"/>
      <c r="J56" s="127"/>
    </row>
    <row r="57" spans="1:10" x14ac:dyDescent="0.3">
      <c r="A57" s="3"/>
      <c r="B57" s="3" t="s">
        <v>92</v>
      </c>
      <c r="C57" s="3" t="s">
        <v>93</v>
      </c>
      <c r="D57" s="3"/>
      <c r="E57" s="3">
        <v>25</v>
      </c>
      <c r="F57" s="111">
        <v>1000</v>
      </c>
      <c r="G57" s="3">
        <v>3</v>
      </c>
      <c r="H57" s="16">
        <v>1</v>
      </c>
      <c r="I57" s="24">
        <f t="shared" ref="I57:I64" si="12">E57*F57*G57*H57</f>
        <v>75000</v>
      </c>
      <c r="J57" s="24">
        <f>I57/54</f>
        <v>1388.8888888888889</v>
      </c>
    </row>
    <row r="58" spans="1:10" x14ac:dyDescent="0.3">
      <c r="A58" s="3"/>
      <c r="B58" s="3" t="s">
        <v>86</v>
      </c>
      <c r="C58" s="3" t="s">
        <v>94</v>
      </c>
      <c r="D58" s="3" t="s">
        <v>181</v>
      </c>
      <c r="E58" s="3">
        <v>20</v>
      </c>
      <c r="F58" s="111">
        <v>5000</v>
      </c>
      <c r="G58" s="3">
        <v>1</v>
      </c>
      <c r="H58" s="16">
        <v>1</v>
      </c>
      <c r="I58" s="24">
        <f t="shared" si="12"/>
        <v>100000</v>
      </c>
      <c r="J58" s="24">
        <f t="shared" ref="J58:J65" si="13">I58/54</f>
        <v>1851.851851851852</v>
      </c>
    </row>
    <row r="59" spans="1:10" x14ac:dyDescent="0.3">
      <c r="A59" s="3"/>
      <c r="B59" s="3" t="s">
        <v>95</v>
      </c>
      <c r="C59" s="3" t="s">
        <v>96</v>
      </c>
      <c r="D59" s="3" t="s">
        <v>181</v>
      </c>
      <c r="E59" s="3">
        <v>20</v>
      </c>
      <c r="F59" s="111">
        <v>10000</v>
      </c>
      <c r="G59" s="3">
        <v>3</v>
      </c>
      <c r="H59" s="16">
        <v>1</v>
      </c>
      <c r="I59" s="24">
        <f t="shared" si="12"/>
        <v>600000</v>
      </c>
      <c r="J59" s="24">
        <f t="shared" si="13"/>
        <v>11111.111111111111</v>
      </c>
    </row>
    <row r="60" spans="1:10" x14ac:dyDescent="0.3">
      <c r="A60" s="3"/>
      <c r="B60" s="3" t="s">
        <v>97</v>
      </c>
      <c r="C60" s="3" t="s">
        <v>171</v>
      </c>
      <c r="D60" s="3" t="s">
        <v>181</v>
      </c>
      <c r="E60" s="3">
        <v>25</v>
      </c>
      <c r="F60" s="111">
        <v>1500</v>
      </c>
      <c r="G60" s="3">
        <v>3</v>
      </c>
      <c r="H60" s="16">
        <v>1</v>
      </c>
      <c r="I60" s="24">
        <f t="shared" si="12"/>
        <v>112500</v>
      </c>
      <c r="J60" s="24">
        <f t="shared" si="13"/>
        <v>2083.3333333333335</v>
      </c>
    </row>
    <row r="61" spans="1:10" x14ac:dyDescent="0.3">
      <c r="A61" s="3"/>
      <c r="B61" s="3" t="s">
        <v>99</v>
      </c>
      <c r="C61" s="3" t="s">
        <v>100</v>
      </c>
      <c r="D61" s="3" t="s">
        <v>112</v>
      </c>
      <c r="E61" s="3">
        <v>1</v>
      </c>
      <c r="F61" s="111">
        <v>10000</v>
      </c>
      <c r="G61" s="3">
        <v>3</v>
      </c>
      <c r="H61" s="16">
        <v>1</v>
      </c>
      <c r="I61" s="24">
        <f t="shared" si="12"/>
        <v>30000</v>
      </c>
      <c r="J61" s="24">
        <f t="shared" si="13"/>
        <v>555.55555555555554</v>
      </c>
    </row>
    <row r="62" spans="1:10" x14ac:dyDescent="0.3">
      <c r="A62" s="3"/>
      <c r="B62" s="3" t="s">
        <v>101</v>
      </c>
      <c r="C62" s="3" t="s">
        <v>102</v>
      </c>
      <c r="D62" s="3"/>
      <c r="E62" s="3">
        <v>1</v>
      </c>
      <c r="F62" s="111">
        <v>25000</v>
      </c>
      <c r="G62" s="3">
        <v>3</v>
      </c>
      <c r="H62" s="16">
        <v>1</v>
      </c>
      <c r="I62" s="24">
        <f t="shared" si="12"/>
        <v>75000</v>
      </c>
      <c r="J62" s="24">
        <f t="shared" si="13"/>
        <v>1388.8888888888889</v>
      </c>
    </row>
    <row r="63" spans="1:10" x14ac:dyDescent="0.3">
      <c r="A63" s="3"/>
      <c r="B63" s="3" t="s">
        <v>103</v>
      </c>
      <c r="C63" s="3" t="s">
        <v>104</v>
      </c>
      <c r="D63" s="3" t="s">
        <v>105</v>
      </c>
      <c r="E63" s="3">
        <v>1</v>
      </c>
      <c r="F63" s="111">
        <v>25000</v>
      </c>
      <c r="G63" s="3">
        <v>3</v>
      </c>
      <c r="H63" s="16">
        <v>1</v>
      </c>
      <c r="I63" s="24">
        <f t="shared" si="12"/>
        <v>75000</v>
      </c>
      <c r="J63" s="24">
        <f t="shared" si="13"/>
        <v>1388.8888888888889</v>
      </c>
    </row>
    <row r="64" spans="1:10" x14ac:dyDescent="0.3">
      <c r="A64" s="3"/>
      <c r="B64" s="3" t="s">
        <v>106</v>
      </c>
      <c r="C64" s="3" t="s">
        <v>107</v>
      </c>
      <c r="D64" s="3"/>
      <c r="E64" s="3">
        <v>25</v>
      </c>
      <c r="F64" s="111">
        <v>400</v>
      </c>
      <c r="G64" s="3">
        <v>3</v>
      </c>
      <c r="H64" s="16">
        <v>1</v>
      </c>
      <c r="I64" s="24">
        <f t="shared" si="12"/>
        <v>30000</v>
      </c>
      <c r="J64" s="24">
        <f t="shared" si="13"/>
        <v>555.55555555555554</v>
      </c>
    </row>
    <row r="65" spans="1:12" x14ac:dyDescent="0.3">
      <c r="A65" s="3"/>
      <c r="B65" s="3"/>
      <c r="C65" s="3"/>
      <c r="D65" s="82" t="s">
        <v>10</v>
      </c>
      <c r="E65" s="82"/>
      <c r="F65" s="122"/>
      <c r="G65" s="82"/>
      <c r="H65" s="123"/>
      <c r="I65" s="121">
        <f>SUM(I57:I64)</f>
        <v>1097500</v>
      </c>
      <c r="J65" s="121">
        <f t="shared" si="13"/>
        <v>20324.074074074073</v>
      </c>
    </row>
    <row r="66" spans="1:12" x14ac:dyDescent="0.3">
      <c r="A66" s="3"/>
      <c r="B66" s="3"/>
      <c r="C66" s="3"/>
      <c r="D66" s="3"/>
      <c r="E66" s="3"/>
      <c r="F66" s="3"/>
      <c r="G66" s="3"/>
      <c r="H66" s="16"/>
      <c r="I66" s="3"/>
      <c r="J66" s="3"/>
    </row>
    <row r="67" spans="1:12" x14ac:dyDescent="0.3">
      <c r="A67" s="3"/>
      <c r="B67" s="3"/>
      <c r="C67" s="3"/>
      <c r="D67" s="83" t="s">
        <v>19</v>
      </c>
      <c r="E67" s="83"/>
      <c r="F67" s="83"/>
      <c r="G67" s="83"/>
      <c r="H67" s="131"/>
      <c r="I67" s="132">
        <f>I54+I65</f>
        <v>1357500</v>
      </c>
      <c r="J67" s="132">
        <f>J54+J65</f>
        <v>25138.888888888887</v>
      </c>
      <c r="K67" s="1">
        <f>I67/25</f>
        <v>54300</v>
      </c>
      <c r="L67" s="33">
        <f>J67/25</f>
        <v>1005.5555555555554</v>
      </c>
    </row>
  </sheetData>
  <mergeCells count="19">
    <mergeCell ref="C12:J12"/>
    <mergeCell ref="B6:J6"/>
    <mergeCell ref="L7:O7"/>
    <mergeCell ref="B9:J9"/>
    <mergeCell ref="C10:J10"/>
    <mergeCell ref="C11:J11"/>
    <mergeCell ref="A56:D56"/>
    <mergeCell ref="C13:J13"/>
    <mergeCell ref="C14:J14"/>
    <mergeCell ref="L16:O16"/>
    <mergeCell ref="B17:J17"/>
    <mergeCell ref="L26:O26"/>
    <mergeCell ref="B27:J27"/>
    <mergeCell ref="L27:O27"/>
    <mergeCell ref="B34:J34"/>
    <mergeCell ref="B36:J36"/>
    <mergeCell ref="M37:S43"/>
    <mergeCell ref="A45:J45"/>
    <mergeCell ref="A47:D47"/>
  </mergeCells>
  <pageMargins left="0.7" right="0.7" top="0.75" bottom="0.75" header="0.3" footer="0.3"/>
  <pageSetup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284"/>
  <sheetViews>
    <sheetView view="pageBreakPreview" topLeftCell="C23" zoomScale="60" zoomScaleNormal="30" workbookViewId="0">
      <selection activeCell="M36" sqref="M36"/>
    </sheetView>
  </sheetViews>
  <sheetFormatPr defaultColWidth="10.109375" defaultRowHeight="14.4" x14ac:dyDescent="0.3"/>
  <cols>
    <col min="1" max="1" width="3.109375" style="1" customWidth="1"/>
    <col min="2" max="2" width="6.109375" style="1" customWidth="1"/>
    <col min="3" max="3" width="69.88671875" style="1" customWidth="1"/>
    <col min="4" max="4" width="13.44140625" style="1" customWidth="1"/>
    <col min="5" max="5" width="14.33203125" style="1" bestFit="1" customWidth="1"/>
    <col min="6" max="6" width="16.44140625" style="1" bestFit="1" customWidth="1"/>
    <col min="7" max="7" width="14.5546875" style="1" bestFit="1" customWidth="1"/>
    <col min="8" max="8" width="8.44140625" style="1" customWidth="1"/>
    <col min="9" max="9" width="16.33203125" style="1" customWidth="1"/>
    <col min="10" max="10" width="13.5546875" style="1" bestFit="1" customWidth="1"/>
    <col min="11" max="11" width="13.109375" style="1" bestFit="1" customWidth="1"/>
    <col min="12" max="15" width="12.33203125" style="1" bestFit="1" customWidth="1"/>
    <col min="16" max="16" width="13.5546875" style="1" bestFit="1" customWidth="1"/>
    <col min="17" max="18" width="13.44140625" style="1" bestFit="1" customWidth="1"/>
    <col min="19" max="19" width="16.88671875" style="1" bestFit="1" customWidth="1"/>
    <col min="20" max="16384" width="10.109375" style="1"/>
  </cols>
  <sheetData>
    <row r="2" spans="2:23" x14ac:dyDescent="0.3">
      <c r="B2" s="48">
        <v>1.4</v>
      </c>
      <c r="C2" s="65" t="s">
        <v>182</v>
      </c>
      <c r="D2" s="62" t="s">
        <v>26</v>
      </c>
      <c r="E2" s="62" t="s">
        <v>27</v>
      </c>
      <c r="F2" s="62" t="s">
        <v>28</v>
      </c>
      <c r="G2" s="62" t="s">
        <v>9</v>
      </c>
    </row>
    <row r="3" spans="2:23" x14ac:dyDescent="0.3">
      <c r="B3" s="51" t="s">
        <v>183</v>
      </c>
      <c r="C3" s="66" t="s">
        <v>546</v>
      </c>
      <c r="D3" s="67">
        <f>P43</f>
        <v>121333.33333333334</v>
      </c>
      <c r="E3" s="67">
        <f t="shared" ref="E3:F3" si="0">Q43</f>
        <v>617759.25925925933</v>
      </c>
      <c r="F3" s="67">
        <f t="shared" si="0"/>
        <v>1153018.5185185184</v>
      </c>
      <c r="G3" s="67">
        <f>D3+E3+F3</f>
        <v>1892111.111111111</v>
      </c>
    </row>
    <row r="4" spans="2:23" x14ac:dyDescent="0.3">
      <c r="B4" s="51" t="s">
        <v>184</v>
      </c>
      <c r="C4" s="66" t="s">
        <v>185</v>
      </c>
      <c r="D4" s="67">
        <f>P51</f>
        <v>186111.11111111112</v>
      </c>
      <c r="E4" s="67">
        <f t="shared" ref="E4:F4" si="1">Q51</f>
        <v>287555.55555555556</v>
      </c>
      <c r="F4" s="67">
        <f t="shared" si="1"/>
        <v>459833.33333333331</v>
      </c>
      <c r="G4" s="67">
        <f t="shared" ref="G4:G5" si="2">D4+E4+F4</f>
        <v>933500</v>
      </c>
    </row>
    <row r="5" spans="2:23" x14ac:dyDescent="0.3">
      <c r="B5" s="51" t="s">
        <v>186</v>
      </c>
      <c r="C5" s="66" t="s">
        <v>547</v>
      </c>
      <c r="D5" s="67">
        <f>P62</f>
        <v>134722.22222222222</v>
      </c>
      <c r="E5" s="67">
        <f t="shared" ref="E5:F5" si="3">Q62</f>
        <v>367462.96296296298</v>
      </c>
      <c r="F5" s="67">
        <f t="shared" si="3"/>
        <v>204222.22222222222</v>
      </c>
      <c r="G5" s="67">
        <f t="shared" si="2"/>
        <v>706407.40740740742</v>
      </c>
    </row>
    <row r="6" spans="2:23" x14ac:dyDescent="0.3">
      <c r="B6" s="51"/>
      <c r="C6" s="68" t="s">
        <v>10</v>
      </c>
      <c r="D6" s="69">
        <f>D3+D4+D5</f>
        <v>442166.66666666674</v>
      </c>
      <c r="E6" s="69">
        <f t="shared" ref="E6:G6" si="4">E3+E4+E5</f>
        <v>1272777.7777777778</v>
      </c>
      <c r="F6" s="69">
        <f t="shared" si="4"/>
        <v>1817074.0740740739</v>
      </c>
      <c r="G6" s="69">
        <f t="shared" si="4"/>
        <v>3532018.5185185187</v>
      </c>
    </row>
    <row r="8" spans="2:23" ht="15.75" customHeight="1" x14ac:dyDescent="0.3">
      <c r="B8" s="806" t="s">
        <v>34</v>
      </c>
      <c r="C8" s="807"/>
      <c r="D8" s="807"/>
      <c r="E8" s="807"/>
      <c r="F8" s="807"/>
      <c r="G8" s="807"/>
      <c r="H8" s="807"/>
      <c r="I8" s="807"/>
      <c r="J8" s="808"/>
    </row>
    <row r="9" spans="2:23" x14ac:dyDescent="0.3">
      <c r="B9" s="51"/>
      <c r="C9" s="150"/>
      <c r="D9" s="151"/>
      <c r="E9" s="151"/>
      <c r="F9" s="151"/>
      <c r="G9" s="151"/>
      <c r="H9" s="152"/>
      <c r="I9" s="152"/>
      <c r="J9" s="152"/>
      <c r="K9" s="3"/>
      <c r="L9" s="782" t="s">
        <v>26</v>
      </c>
      <c r="M9" s="782"/>
      <c r="N9" s="782"/>
      <c r="O9" s="782"/>
      <c r="P9" s="136" t="s">
        <v>26</v>
      </c>
      <c r="Q9" s="137" t="s">
        <v>27</v>
      </c>
      <c r="R9" s="137" t="s">
        <v>28</v>
      </c>
      <c r="S9" s="77" t="s">
        <v>19</v>
      </c>
    </row>
    <row r="10" spans="2:23" x14ac:dyDescent="0.3">
      <c r="B10" s="78"/>
      <c r="C10" s="150"/>
      <c r="D10" s="151"/>
      <c r="E10" s="151"/>
      <c r="F10" s="151"/>
      <c r="G10" s="151"/>
      <c r="H10" s="153"/>
      <c r="I10" s="152"/>
      <c r="J10" s="152"/>
      <c r="K10" s="3"/>
      <c r="L10" s="80" t="s">
        <v>36</v>
      </c>
      <c r="M10" s="80" t="s">
        <v>37</v>
      </c>
      <c r="N10" s="80" t="s">
        <v>38</v>
      </c>
      <c r="O10" s="80" t="s">
        <v>39</v>
      </c>
      <c r="P10" s="136" t="s">
        <v>9</v>
      </c>
      <c r="Q10" s="142" t="s">
        <v>9</v>
      </c>
      <c r="R10" s="142" t="s">
        <v>9</v>
      </c>
      <c r="S10" s="77"/>
    </row>
    <row r="11" spans="2:23" ht="31.5" customHeight="1" x14ac:dyDescent="0.3">
      <c r="B11" s="78"/>
      <c r="C11" s="803" t="str">
        <f>B35</f>
        <v>1.4.1 EVMs Conducted and PIPs implemented in Larger states</v>
      </c>
      <c r="D11" s="804"/>
      <c r="E11" s="804"/>
      <c r="F11" s="804"/>
      <c r="G11" s="804"/>
      <c r="H11" s="804"/>
      <c r="I11" s="804"/>
      <c r="J11" s="805"/>
      <c r="K11" s="3"/>
      <c r="L11" s="3"/>
      <c r="M11" s="3"/>
      <c r="N11" s="3"/>
      <c r="O11" s="3"/>
      <c r="P11" s="138"/>
      <c r="Q11" s="138"/>
      <c r="R11" s="138"/>
      <c r="S11" s="83"/>
    </row>
    <row r="12" spans="2:23" ht="20.100000000000001" customHeight="1" x14ac:dyDescent="0.3">
      <c r="B12" s="78">
        <v>1</v>
      </c>
      <c r="C12" s="800" t="str">
        <f>C37</f>
        <v>Undertake Effective Vaccine Management (EVM) mission (Training, assessment, supportive supervision during assessment) in 9 States</v>
      </c>
      <c r="D12" s="801"/>
      <c r="E12" s="801"/>
      <c r="F12" s="801"/>
      <c r="G12" s="801"/>
      <c r="H12" s="801"/>
      <c r="I12" s="801"/>
      <c r="J12" s="802"/>
      <c r="K12" s="3"/>
      <c r="L12" s="3"/>
      <c r="M12" s="3"/>
      <c r="N12" s="3">
        <v>1</v>
      </c>
      <c r="O12" s="3"/>
      <c r="P12" s="138">
        <v>1</v>
      </c>
      <c r="Q12" s="138">
        <v>4</v>
      </c>
      <c r="R12" s="138">
        <v>4</v>
      </c>
      <c r="S12" s="83">
        <v>9</v>
      </c>
    </row>
    <row r="13" spans="2:23" ht="20.100000000000001" customHeight="1" x14ac:dyDescent="0.3">
      <c r="B13" s="78">
        <v>2</v>
      </c>
      <c r="C13" s="800" t="str">
        <f t="shared" ref="C13:C17" si="5">C38</f>
        <v>Undertake one National EVM mission (Training, assessment, supportive supervision during assessment)</v>
      </c>
      <c r="D13" s="801"/>
      <c r="E13" s="801"/>
      <c r="F13" s="801"/>
      <c r="G13" s="801"/>
      <c r="H13" s="801"/>
      <c r="I13" s="801"/>
      <c r="J13" s="802"/>
      <c r="K13" s="3"/>
      <c r="L13" s="618"/>
      <c r="M13" s="618"/>
      <c r="N13" s="618"/>
      <c r="O13" s="618"/>
      <c r="P13" s="619"/>
      <c r="Q13" s="619"/>
      <c r="R13" s="619">
        <v>1</v>
      </c>
      <c r="S13" s="620">
        <v>1</v>
      </c>
      <c r="T13" s="635"/>
      <c r="U13" s="635"/>
      <c r="V13" s="635"/>
      <c r="W13" s="635"/>
    </row>
    <row r="14" spans="2:23" ht="20.100000000000001" customHeight="1" x14ac:dyDescent="0.3">
      <c r="B14" s="78">
        <v>3</v>
      </c>
      <c r="C14" s="800" t="str">
        <f t="shared" si="5"/>
        <v>Development of National improvement plan (IP)</v>
      </c>
      <c r="D14" s="801"/>
      <c r="E14" s="801"/>
      <c r="F14" s="801"/>
      <c r="G14" s="801"/>
      <c r="H14" s="801"/>
      <c r="I14" s="801"/>
      <c r="J14" s="802"/>
      <c r="K14" s="3"/>
      <c r="L14" s="618"/>
      <c r="M14" s="618"/>
      <c r="N14" s="618"/>
      <c r="O14" s="618"/>
      <c r="P14" s="619"/>
      <c r="Q14" s="619"/>
      <c r="R14" s="619">
        <v>1</v>
      </c>
      <c r="S14" s="620">
        <v>1</v>
      </c>
      <c r="T14" s="635"/>
      <c r="U14" s="635"/>
      <c r="V14" s="635"/>
      <c r="W14" s="635"/>
    </row>
    <row r="15" spans="2:23" ht="20.100000000000001" customHeight="1" x14ac:dyDescent="0.3">
      <c r="B15" s="78">
        <v>4</v>
      </c>
      <c r="C15" s="800" t="str">
        <f t="shared" si="5"/>
        <v>Development of state improvement plans &amp; inclusion in state PIP (9 States)</v>
      </c>
      <c r="D15" s="801"/>
      <c r="E15" s="801"/>
      <c r="F15" s="801"/>
      <c r="G15" s="801"/>
      <c r="H15" s="801"/>
      <c r="I15" s="801"/>
      <c r="J15" s="802"/>
      <c r="K15" s="3"/>
      <c r="L15" s="618"/>
      <c r="M15" s="618"/>
      <c r="N15" s="618"/>
      <c r="O15" s="618">
        <v>1</v>
      </c>
      <c r="P15" s="619">
        <v>1</v>
      </c>
      <c r="Q15" s="619">
        <v>4</v>
      </c>
      <c r="R15" s="619">
        <v>4</v>
      </c>
      <c r="S15" s="620">
        <v>9</v>
      </c>
      <c r="T15" s="635"/>
      <c r="U15" s="635"/>
      <c r="V15" s="635"/>
      <c r="W15" s="635"/>
    </row>
    <row r="16" spans="2:23" ht="20.100000000000001" customHeight="1" x14ac:dyDescent="0.3">
      <c r="B16" s="78">
        <v>5</v>
      </c>
      <c r="C16" s="800" t="str">
        <f t="shared" si="5"/>
        <v>Annual review meetings to follow up on progress/ CCL improvements (National) - 2 reviews in 3 years period.</v>
      </c>
      <c r="D16" s="801"/>
      <c r="E16" s="801"/>
      <c r="F16" s="801"/>
      <c r="G16" s="801"/>
      <c r="H16" s="801"/>
      <c r="I16" s="801"/>
      <c r="J16" s="802"/>
      <c r="K16" s="3"/>
      <c r="L16" s="618"/>
      <c r="M16" s="618"/>
      <c r="N16" s="618"/>
      <c r="O16" s="618"/>
      <c r="P16" s="619"/>
      <c r="Q16" s="619">
        <v>1</v>
      </c>
      <c r="R16" s="619">
        <v>1</v>
      </c>
      <c r="S16" s="620">
        <v>2</v>
      </c>
      <c r="T16" s="635"/>
      <c r="U16" s="635"/>
      <c r="V16" s="635"/>
      <c r="W16" s="635"/>
    </row>
    <row r="17" spans="2:23" ht="20.100000000000001" customHeight="1" x14ac:dyDescent="0.3">
      <c r="B17" s="78">
        <v>6</v>
      </c>
      <c r="C17" s="800" t="str">
        <f t="shared" si="5"/>
        <v>Review meetings to follow up on progress/ CCL improvements (9 States) - 12 (2 reviews for 3 states &amp; 1 review for 6 states over a period of 3 years)</v>
      </c>
      <c r="D17" s="801"/>
      <c r="E17" s="801"/>
      <c r="F17" s="801"/>
      <c r="G17" s="801"/>
      <c r="H17" s="801"/>
      <c r="I17" s="801"/>
      <c r="J17" s="802"/>
      <c r="K17" s="3"/>
      <c r="L17" s="618"/>
      <c r="M17" s="618"/>
      <c r="N17" s="618"/>
      <c r="O17" s="618"/>
      <c r="P17" s="619"/>
      <c r="Q17" s="619">
        <v>2</v>
      </c>
      <c r="R17" s="619">
        <v>10</v>
      </c>
      <c r="S17" s="620">
        <v>12</v>
      </c>
      <c r="T17" s="635"/>
      <c r="U17" s="635"/>
      <c r="V17" s="635"/>
      <c r="W17" s="635"/>
    </row>
    <row r="18" spans="2:23" ht="20.100000000000001" customHeight="1" x14ac:dyDescent="0.3">
      <c r="B18" s="154"/>
      <c r="C18" s="155"/>
      <c r="D18" s="156"/>
      <c r="E18" s="156"/>
      <c r="F18" s="156"/>
      <c r="G18" s="156"/>
      <c r="H18" s="157"/>
      <c r="I18" s="157"/>
      <c r="J18" s="157"/>
      <c r="K18" s="18"/>
      <c r="L18" s="637"/>
      <c r="M18" s="637"/>
      <c r="N18" s="637"/>
      <c r="O18" s="637"/>
      <c r="P18" s="619"/>
      <c r="Q18" s="619"/>
      <c r="R18" s="619"/>
      <c r="S18" s="637"/>
      <c r="T18" s="635"/>
      <c r="U18" s="635"/>
      <c r="V18" s="635"/>
      <c r="W18" s="635"/>
    </row>
    <row r="19" spans="2:23" ht="20.100000000000001" customHeight="1" x14ac:dyDescent="0.3">
      <c r="B19" s="78"/>
      <c r="C19" s="803" t="str">
        <f>B45</f>
        <v>1.4.2 Nationwide rollout of the national cold chain MIS</v>
      </c>
      <c r="D19" s="804"/>
      <c r="E19" s="804"/>
      <c r="F19" s="804"/>
      <c r="G19" s="804"/>
      <c r="H19" s="804"/>
      <c r="I19" s="804"/>
      <c r="J19" s="805"/>
      <c r="K19" s="3"/>
      <c r="L19" s="618"/>
      <c r="M19" s="618"/>
      <c r="N19" s="618"/>
      <c r="O19" s="618"/>
      <c r="P19" s="619"/>
      <c r="Q19" s="619"/>
      <c r="R19" s="619"/>
      <c r="S19" s="620"/>
      <c r="T19" s="635"/>
      <c r="U19" s="635"/>
      <c r="V19" s="635"/>
      <c r="W19" s="635"/>
    </row>
    <row r="20" spans="2:23" ht="20.100000000000001" customHeight="1" x14ac:dyDescent="0.3">
      <c r="B20" s="78">
        <v>1</v>
      </c>
      <c r="C20" s="800" t="str">
        <f>C47</f>
        <v>Consultation meeting with state/ national staff - 1 event</v>
      </c>
      <c r="D20" s="801"/>
      <c r="E20" s="801"/>
      <c r="F20" s="801"/>
      <c r="G20" s="801"/>
      <c r="H20" s="801"/>
      <c r="I20" s="801"/>
      <c r="J20" s="802"/>
      <c r="K20" s="3"/>
      <c r="L20" s="618"/>
      <c r="M20" s="618"/>
      <c r="N20" s="618"/>
      <c r="O20" s="618">
        <v>1</v>
      </c>
      <c r="P20" s="619">
        <v>1</v>
      </c>
      <c r="Q20" s="619"/>
      <c r="R20" s="619"/>
      <c r="S20" s="620">
        <v>1</v>
      </c>
      <c r="T20" s="635"/>
      <c r="U20" s="635"/>
      <c r="V20" s="635"/>
      <c r="W20" s="635"/>
    </row>
    <row r="21" spans="2:23" ht="20.100000000000001" customHeight="1" x14ac:dyDescent="0.3">
      <c r="B21" s="78">
        <v>2</v>
      </c>
      <c r="C21" s="800" t="str">
        <f t="shared" ref="C21:C23" si="6">C48</f>
        <v>State level annual review meetings - 18 events (2 Review over 3 years period</v>
      </c>
      <c r="D21" s="801"/>
      <c r="E21" s="801"/>
      <c r="F21" s="801"/>
      <c r="G21" s="801"/>
      <c r="H21" s="801"/>
      <c r="I21" s="801"/>
      <c r="J21" s="802"/>
      <c r="K21" s="3"/>
      <c r="L21" s="618"/>
      <c r="M21" s="618"/>
      <c r="N21" s="618"/>
      <c r="O21" s="618"/>
      <c r="P21" s="619"/>
      <c r="Q21" s="619">
        <v>6</v>
      </c>
      <c r="R21" s="619">
        <v>12</v>
      </c>
      <c r="S21" s="620">
        <v>18</v>
      </c>
      <c r="T21" s="635"/>
      <c r="U21" s="635"/>
      <c r="V21" s="635"/>
      <c r="W21" s="635"/>
    </row>
    <row r="22" spans="2:23" ht="20.100000000000001" customHeight="1" x14ac:dyDescent="0.3">
      <c r="B22" s="78">
        <v>3</v>
      </c>
      <c r="C22" s="800" t="str">
        <f t="shared" si="6"/>
        <v>Development of additional module - One contract</v>
      </c>
      <c r="D22" s="801"/>
      <c r="E22" s="801"/>
      <c r="F22" s="801"/>
      <c r="G22" s="801"/>
      <c r="H22" s="801"/>
      <c r="I22" s="801"/>
      <c r="J22" s="802"/>
      <c r="K22" s="3"/>
      <c r="L22" s="618"/>
      <c r="M22" s="618"/>
      <c r="N22" s="618"/>
      <c r="O22" s="618">
        <v>1</v>
      </c>
      <c r="P22" s="619">
        <v>1</v>
      </c>
      <c r="Q22" s="619"/>
      <c r="R22" s="619"/>
      <c r="S22" s="620">
        <v>1</v>
      </c>
      <c r="T22" s="635"/>
      <c r="U22" s="635"/>
      <c r="V22" s="635"/>
      <c r="W22" s="635"/>
    </row>
    <row r="23" spans="2:23" ht="20.100000000000001" customHeight="1" x14ac:dyDescent="0.3">
      <c r="B23" s="78">
        <v>4</v>
      </c>
      <c r="C23" s="800" t="str">
        <f t="shared" si="6"/>
        <v>National review meetings 2 Events</v>
      </c>
      <c r="D23" s="801"/>
      <c r="E23" s="801"/>
      <c r="F23" s="801"/>
      <c r="G23" s="801"/>
      <c r="H23" s="801"/>
      <c r="I23" s="801"/>
      <c r="J23" s="802"/>
      <c r="K23" s="3"/>
      <c r="L23" s="618"/>
      <c r="M23" s="618"/>
      <c r="N23" s="618">
        <v>1</v>
      </c>
      <c r="O23" s="618"/>
      <c r="P23" s="619">
        <v>1</v>
      </c>
      <c r="Q23" s="619"/>
      <c r="R23" s="619">
        <v>1</v>
      </c>
      <c r="S23" s="620">
        <v>2</v>
      </c>
      <c r="T23" s="635"/>
      <c r="U23" s="635"/>
      <c r="V23" s="635"/>
      <c r="W23" s="635"/>
    </row>
    <row r="24" spans="2:23" ht="20.100000000000001" customHeight="1" x14ac:dyDescent="0.3">
      <c r="B24" s="154"/>
      <c r="C24" s="155"/>
      <c r="D24" s="156"/>
      <c r="E24" s="156"/>
      <c r="F24" s="156"/>
      <c r="G24" s="156"/>
      <c r="H24" s="157"/>
      <c r="I24" s="157"/>
      <c r="J24" s="157"/>
      <c r="K24" s="18"/>
      <c r="L24" s="637"/>
      <c r="M24" s="637"/>
      <c r="N24" s="637"/>
      <c r="O24" s="637"/>
      <c r="P24" s="619"/>
      <c r="Q24" s="619"/>
      <c r="R24" s="619"/>
      <c r="S24" s="637"/>
      <c r="T24" s="635"/>
      <c r="U24" s="635"/>
      <c r="V24" s="635"/>
      <c r="W24" s="635"/>
    </row>
    <row r="25" spans="2:23" ht="20.100000000000001" customHeight="1" x14ac:dyDescent="0.3">
      <c r="B25" s="78"/>
      <c r="C25" s="803" t="s">
        <v>548</v>
      </c>
      <c r="D25" s="804"/>
      <c r="E25" s="804"/>
      <c r="F25" s="804"/>
      <c r="G25" s="804"/>
      <c r="H25" s="804"/>
      <c r="I25" s="804"/>
      <c r="J25" s="805"/>
      <c r="K25" s="79"/>
      <c r="L25" s="631"/>
      <c r="M25" s="631"/>
      <c r="N25" s="631"/>
      <c r="O25" s="631"/>
      <c r="P25" s="619"/>
      <c r="Q25" s="619"/>
      <c r="R25" s="619"/>
      <c r="S25" s="620"/>
      <c r="T25" s="635"/>
      <c r="U25" s="635"/>
      <c r="V25" s="635"/>
      <c r="W25" s="635"/>
    </row>
    <row r="26" spans="2:23" ht="20.100000000000001" customHeight="1" x14ac:dyDescent="0.3">
      <c r="B26" s="78">
        <v>1</v>
      </c>
      <c r="C26" s="800" t="str">
        <f>C55</f>
        <v>Consultation meeting with national &amp; state staff/ experts- 1 national event</v>
      </c>
      <c r="D26" s="801"/>
      <c r="E26" s="801"/>
      <c r="F26" s="801"/>
      <c r="G26" s="801"/>
      <c r="H26" s="801"/>
      <c r="I26" s="801"/>
      <c r="J26" s="802"/>
      <c r="K26" s="79"/>
      <c r="L26" s="631"/>
      <c r="M26" s="631"/>
      <c r="N26" s="631">
        <v>1</v>
      </c>
      <c r="O26" s="631"/>
      <c r="P26" s="619">
        <v>1</v>
      </c>
      <c r="Q26" s="619"/>
      <c r="R26" s="619"/>
      <c r="S26" s="620">
        <v>1</v>
      </c>
      <c r="T26" s="635"/>
      <c r="U26" s="635"/>
      <c r="V26" s="635"/>
      <c r="W26" s="635"/>
    </row>
    <row r="27" spans="2:23" ht="20.100000000000001" customHeight="1" x14ac:dyDescent="0.3">
      <c r="B27" s="78">
        <v>2</v>
      </c>
      <c r="C27" s="800" t="str">
        <f t="shared" ref="C27:C32" si="7">C56</f>
        <v>Develop VLMIS pilot tool and implementation in 1 GMSD/ states/ districts</v>
      </c>
      <c r="D27" s="801"/>
      <c r="E27" s="801"/>
      <c r="F27" s="801"/>
      <c r="G27" s="801"/>
      <c r="H27" s="801"/>
      <c r="I27" s="801"/>
      <c r="J27" s="802"/>
      <c r="K27" s="79"/>
      <c r="L27" s="631"/>
      <c r="M27" s="631"/>
      <c r="N27" s="631"/>
      <c r="O27" s="631">
        <v>0</v>
      </c>
      <c r="P27" s="619"/>
      <c r="Q27" s="619">
        <v>1</v>
      </c>
      <c r="R27" s="619"/>
      <c r="S27" s="620">
        <v>1</v>
      </c>
      <c r="T27" s="635"/>
      <c r="U27" s="635"/>
      <c r="V27" s="635"/>
      <c r="W27" s="635"/>
    </row>
    <row r="28" spans="2:23" ht="20.100000000000001" customHeight="1" x14ac:dyDescent="0.3">
      <c r="B28" s="78">
        <v>3</v>
      </c>
      <c r="C28" s="800" t="str">
        <f t="shared" si="7"/>
        <v>Review meetings- 3 events, bi-monthly to identify bugs, tweak features, reporting etc</v>
      </c>
      <c r="D28" s="801"/>
      <c r="E28" s="801"/>
      <c r="F28" s="801"/>
      <c r="G28" s="801"/>
      <c r="H28" s="801"/>
      <c r="I28" s="801"/>
      <c r="J28" s="802"/>
      <c r="K28" s="79"/>
      <c r="L28" s="631"/>
      <c r="M28" s="631"/>
      <c r="N28" s="631"/>
      <c r="O28" s="631"/>
      <c r="P28" s="619"/>
      <c r="Q28" s="619">
        <v>3</v>
      </c>
      <c r="R28" s="619"/>
      <c r="S28" s="620">
        <v>3</v>
      </c>
      <c r="T28" s="635"/>
      <c r="U28" s="635"/>
      <c r="V28" s="635"/>
      <c r="W28" s="635"/>
    </row>
    <row r="29" spans="2:23" ht="20.100000000000001" customHeight="1" x14ac:dyDescent="0.3">
      <c r="B29" s="78">
        <v>4</v>
      </c>
      <c r="C29" s="800" t="str">
        <f t="shared" si="7"/>
        <v>National ToT for 9 States / 4 Government Medical Store Depots (GMSDs)</v>
      </c>
      <c r="D29" s="801"/>
      <c r="E29" s="801"/>
      <c r="F29" s="801"/>
      <c r="G29" s="801"/>
      <c r="H29" s="801"/>
      <c r="I29" s="801"/>
      <c r="J29" s="802"/>
      <c r="K29" s="3"/>
      <c r="L29" s="618"/>
      <c r="M29" s="618"/>
      <c r="N29" s="618"/>
      <c r="O29" s="618"/>
      <c r="P29" s="619"/>
      <c r="Q29" s="619">
        <v>1</v>
      </c>
      <c r="R29" s="619"/>
      <c r="S29" s="620">
        <v>1</v>
      </c>
      <c r="T29" s="635"/>
      <c r="U29" s="635"/>
      <c r="V29" s="635"/>
      <c r="W29" s="635"/>
    </row>
    <row r="30" spans="2:23" ht="20.100000000000001" customHeight="1" x14ac:dyDescent="0.3">
      <c r="B30" s="78">
        <v>5</v>
      </c>
      <c r="C30" s="800" t="str">
        <f t="shared" si="7"/>
        <v>Organise /review 9 State level trainings</v>
      </c>
      <c r="D30" s="801"/>
      <c r="E30" s="801"/>
      <c r="F30" s="801"/>
      <c r="G30" s="801"/>
      <c r="H30" s="801"/>
      <c r="I30" s="801"/>
      <c r="J30" s="802"/>
      <c r="K30" s="3"/>
      <c r="L30" s="618"/>
      <c r="M30" s="618"/>
      <c r="N30" s="618"/>
      <c r="O30" s="618"/>
      <c r="P30" s="619"/>
      <c r="Q30" s="619">
        <v>3</v>
      </c>
      <c r="R30" s="619">
        <v>6</v>
      </c>
      <c r="S30" s="620">
        <v>9</v>
      </c>
      <c r="T30" s="635"/>
      <c r="U30" s="635"/>
      <c r="V30" s="635"/>
      <c r="W30" s="635"/>
    </row>
    <row r="31" spans="2:23" ht="20.100000000000001" customHeight="1" x14ac:dyDescent="0.3">
      <c r="B31" s="78">
        <v>6</v>
      </c>
      <c r="C31" s="800" t="str">
        <f t="shared" si="7"/>
        <v>National level review meetings - 2 events in 3 years (To be carried out along with NCCMIS reviews)</v>
      </c>
      <c r="D31" s="801"/>
      <c r="E31" s="801"/>
      <c r="F31" s="801"/>
      <c r="G31" s="801"/>
      <c r="H31" s="801"/>
      <c r="I31" s="801"/>
      <c r="J31" s="802"/>
      <c r="K31" s="3"/>
      <c r="L31" s="618"/>
      <c r="M31" s="618"/>
      <c r="N31" s="618"/>
      <c r="O31" s="618"/>
      <c r="P31" s="619"/>
      <c r="Q31" s="619"/>
      <c r="R31" s="619"/>
      <c r="S31" s="620"/>
      <c r="T31" s="635"/>
      <c r="U31" s="635"/>
      <c r="V31" s="635"/>
      <c r="W31" s="635"/>
    </row>
    <row r="32" spans="2:23" ht="20.100000000000001" customHeight="1" x14ac:dyDescent="0.3">
      <c r="B32" s="78">
        <v>7</v>
      </c>
      <c r="C32" s="800" t="str">
        <f t="shared" si="7"/>
        <v>State level half yearly review meetings in 9 States - 18 events (To be jointly carried out with NCCMIS reviews)</v>
      </c>
      <c r="D32" s="801"/>
      <c r="E32" s="801"/>
      <c r="F32" s="801"/>
      <c r="G32" s="801"/>
      <c r="H32" s="801"/>
      <c r="I32" s="801"/>
      <c r="J32" s="802"/>
      <c r="K32" s="3"/>
      <c r="L32" s="618"/>
      <c r="M32" s="618"/>
      <c r="N32" s="618"/>
      <c r="O32" s="618"/>
      <c r="P32" s="619"/>
      <c r="Q32" s="619"/>
      <c r="R32" s="619"/>
      <c r="S32" s="620"/>
      <c r="T32" s="635"/>
      <c r="U32" s="635"/>
      <c r="V32" s="635"/>
      <c r="W32" s="635"/>
    </row>
    <row r="33" spans="1:23" x14ac:dyDescent="0.3">
      <c r="B33" s="135"/>
      <c r="C33" s="638"/>
      <c r="D33" s="72"/>
      <c r="E33" s="72"/>
      <c r="F33" s="72"/>
      <c r="G33" s="72"/>
      <c r="H33" s="41"/>
      <c r="I33" s="4"/>
      <c r="J33" s="4"/>
      <c r="K33" s="4"/>
      <c r="L33" s="639"/>
      <c r="M33" s="639"/>
      <c r="N33" s="639"/>
      <c r="O33" s="639"/>
      <c r="P33" s="173"/>
      <c r="Q33" s="639"/>
      <c r="R33" s="639"/>
      <c r="S33" s="173"/>
      <c r="T33" s="635"/>
      <c r="U33" s="635"/>
      <c r="V33" s="635"/>
      <c r="W33" s="635"/>
    </row>
    <row r="34" spans="1:23" s="2" customFormat="1" x14ac:dyDescent="0.3">
      <c r="L34" s="782" t="s">
        <v>26</v>
      </c>
      <c r="M34" s="782"/>
      <c r="N34" s="782"/>
      <c r="O34" s="782"/>
      <c r="P34" s="136" t="s">
        <v>26</v>
      </c>
      <c r="Q34" s="137" t="s">
        <v>27</v>
      </c>
      <c r="R34" s="137" t="s">
        <v>28</v>
      </c>
      <c r="S34" s="77" t="str">
        <f>S9</f>
        <v>Grand Total</v>
      </c>
    </row>
    <row r="35" spans="1:23" x14ac:dyDescent="0.3">
      <c r="B35" s="790" t="s">
        <v>549</v>
      </c>
      <c r="C35" s="790"/>
      <c r="D35" s="790"/>
      <c r="E35" s="790"/>
      <c r="F35" s="790"/>
      <c r="G35" s="790"/>
      <c r="H35" s="790"/>
      <c r="I35" s="790"/>
      <c r="J35" s="790"/>
      <c r="K35" s="3"/>
      <c r="L35" s="80" t="s">
        <v>36</v>
      </c>
      <c r="M35" s="80" t="s">
        <v>37</v>
      </c>
      <c r="N35" s="80" t="s">
        <v>38</v>
      </c>
      <c r="O35" s="80" t="s">
        <v>39</v>
      </c>
      <c r="P35" s="136" t="s">
        <v>9</v>
      </c>
      <c r="Q35" s="142" t="s">
        <v>9</v>
      </c>
      <c r="R35" s="142" t="s">
        <v>9</v>
      </c>
      <c r="S35" s="77"/>
    </row>
    <row r="36" spans="1:23" ht="28.8" x14ac:dyDescent="0.3">
      <c r="B36" s="87"/>
      <c r="C36" s="87" t="s">
        <v>145</v>
      </c>
      <c r="D36" s="87" t="s">
        <v>79</v>
      </c>
      <c r="E36" s="87" t="s">
        <v>80</v>
      </c>
      <c r="F36" s="87" t="s">
        <v>146</v>
      </c>
      <c r="G36" s="87" t="s">
        <v>147</v>
      </c>
      <c r="H36" s="87" t="s">
        <v>148</v>
      </c>
      <c r="I36" s="88" t="s">
        <v>65</v>
      </c>
      <c r="J36" s="88" t="s">
        <v>81</v>
      </c>
      <c r="K36" s="3"/>
      <c r="L36" s="89"/>
      <c r="M36" s="89"/>
      <c r="N36" s="89"/>
      <c r="O36" s="89"/>
      <c r="P36" s="142"/>
      <c r="Q36" s="142"/>
      <c r="R36" s="142"/>
      <c r="S36" s="77"/>
    </row>
    <row r="37" spans="1:23" ht="28.8" x14ac:dyDescent="0.3">
      <c r="B37" s="90">
        <v>1</v>
      </c>
      <c r="C37" s="143" t="s">
        <v>187</v>
      </c>
      <c r="D37" s="90"/>
      <c r="E37" s="91">
        <v>1</v>
      </c>
      <c r="F37" s="92">
        <f>K107</f>
        <v>109100</v>
      </c>
      <c r="G37" s="90">
        <v>1</v>
      </c>
      <c r="H37" s="90">
        <v>40</v>
      </c>
      <c r="I37" s="93">
        <f t="shared" ref="I37:I42" si="8">E37*F37*G37*H37</f>
        <v>4364000</v>
      </c>
      <c r="J37" s="94">
        <f t="shared" ref="J37:J42" si="9">I37/54</f>
        <v>80814.814814814818</v>
      </c>
      <c r="K37" s="3"/>
      <c r="L37" s="89"/>
      <c r="M37" s="89"/>
      <c r="N37" s="89">
        <f>J37*1</f>
        <v>80814.814814814818</v>
      </c>
      <c r="O37" s="89"/>
      <c r="P37" s="142">
        <f>L37+M37+N37+O37</f>
        <v>80814.814814814818</v>
      </c>
      <c r="Q37" s="142">
        <f>J37*4</f>
        <v>323259.25925925927</v>
      </c>
      <c r="R37" s="142">
        <f>J37*4</f>
        <v>323259.25925925927</v>
      </c>
      <c r="S37" s="77">
        <f>P37+Q37+R37</f>
        <v>727333.33333333337</v>
      </c>
    </row>
    <row r="38" spans="1:23" ht="28.8" x14ac:dyDescent="0.3">
      <c r="B38" s="90">
        <v>2</v>
      </c>
      <c r="C38" s="143" t="s">
        <v>188</v>
      </c>
      <c r="D38" s="90"/>
      <c r="E38" s="91">
        <v>1</v>
      </c>
      <c r="F38" s="92">
        <f>I140</f>
        <v>8625000</v>
      </c>
      <c r="G38" s="90">
        <v>1</v>
      </c>
      <c r="H38" s="90">
        <v>1</v>
      </c>
      <c r="I38" s="93">
        <f t="shared" si="8"/>
        <v>8625000</v>
      </c>
      <c r="J38" s="94">
        <f t="shared" si="9"/>
        <v>159722.22222222222</v>
      </c>
      <c r="K38" s="3"/>
      <c r="L38" s="89"/>
      <c r="M38" s="89"/>
      <c r="N38" s="89"/>
      <c r="O38" s="89"/>
      <c r="P38" s="142">
        <f t="shared" ref="P38:P42" si="10">L38+M38+N38+O38</f>
        <v>0</v>
      </c>
      <c r="Q38" s="142">
        <f t="shared" ref="Q38:Q39" si="11">P38*1.1</f>
        <v>0</v>
      </c>
      <c r="R38" s="142">
        <f>J38*1</f>
        <v>159722.22222222222</v>
      </c>
      <c r="S38" s="77">
        <f t="shared" ref="S38:S42" si="12">P38+Q38+R38</f>
        <v>159722.22222222222</v>
      </c>
    </row>
    <row r="39" spans="1:23" x14ac:dyDescent="0.3">
      <c r="B39" s="90">
        <v>3</v>
      </c>
      <c r="C39" s="143" t="s">
        <v>189</v>
      </c>
      <c r="D39" s="90"/>
      <c r="E39" s="91">
        <v>1</v>
      </c>
      <c r="F39" s="92">
        <f>K164</f>
        <v>69375</v>
      </c>
      <c r="G39" s="90">
        <v>1</v>
      </c>
      <c r="H39" s="90">
        <v>40</v>
      </c>
      <c r="I39" s="93">
        <f t="shared" si="8"/>
        <v>2775000</v>
      </c>
      <c r="J39" s="94">
        <f t="shared" si="9"/>
        <v>51388.888888888891</v>
      </c>
      <c r="K39" s="3"/>
      <c r="L39" s="89"/>
      <c r="M39" s="89"/>
      <c r="N39" s="89"/>
      <c r="O39" s="89"/>
      <c r="P39" s="142">
        <f t="shared" si="10"/>
        <v>0</v>
      </c>
      <c r="Q39" s="142">
        <f t="shared" si="11"/>
        <v>0</v>
      </c>
      <c r="R39" s="142">
        <f>J39*1</f>
        <v>51388.888888888891</v>
      </c>
      <c r="S39" s="77">
        <f t="shared" si="12"/>
        <v>51388.888888888891</v>
      </c>
    </row>
    <row r="40" spans="1:23" x14ac:dyDescent="0.3">
      <c r="B40" s="90">
        <v>4</v>
      </c>
      <c r="C40" s="143" t="s">
        <v>190</v>
      </c>
      <c r="D40" s="90"/>
      <c r="E40" s="91">
        <v>1</v>
      </c>
      <c r="F40" s="92">
        <f>K188</f>
        <v>54700</v>
      </c>
      <c r="G40" s="90">
        <v>1</v>
      </c>
      <c r="H40" s="90">
        <v>40</v>
      </c>
      <c r="I40" s="93">
        <f t="shared" si="8"/>
        <v>2188000</v>
      </c>
      <c r="J40" s="94">
        <f t="shared" si="9"/>
        <v>40518.518518518518</v>
      </c>
      <c r="K40" s="3"/>
      <c r="L40" s="89"/>
      <c r="M40" s="89"/>
      <c r="N40" s="89"/>
      <c r="O40" s="89">
        <f>J40*1</f>
        <v>40518.518518518518</v>
      </c>
      <c r="P40" s="142">
        <f t="shared" si="10"/>
        <v>40518.518518518518</v>
      </c>
      <c r="Q40" s="142">
        <f>J40*4</f>
        <v>162074.07407407407</v>
      </c>
      <c r="R40" s="142">
        <f>J40*4</f>
        <v>162074.07407407407</v>
      </c>
      <c r="S40" s="77">
        <f t="shared" si="12"/>
        <v>364666.66666666663</v>
      </c>
    </row>
    <row r="41" spans="1:23" ht="28.8" x14ac:dyDescent="0.3">
      <c r="B41" s="90">
        <v>5</v>
      </c>
      <c r="C41" s="143" t="s">
        <v>191</v>
      </c>
      <c r="D41" s="90"/>
      <c r="E41" s="90">
        <v>1</v>
      </c>
      <c r="F41" s="92">
        <f>K212</f>
        <v>69375</v>
      </c>
      <c r="G41" s="90">
        <v>1</v>
      </c>
      <c r="H41" s="90">
        <v>40</v>
      </c>
      <c r="I41" s="93">
        <f t="shared" si="8"/>
        <v>2775000</v>
      </c>
      <c r="J41" s="93">
        <f t="shared" si="9"/>
        <v>51388.888888888891</v>
      </c>
      <c r="K41" s="3"/>
      <c r="L41" s="89"/>
      <c r="M41" s="89"/>
      <c r="N41" s="89"/>
      <c r="O41" s="89"/>
      <c r="P41" s="142">
        <f t="shared" si="10"/>
        <v>0</v>
      </c>
      <c r="Q41" s="142">
        <f>J41*1</f>
        <v>51388.888888888891</v>
      </c>
      <c r="R41" s="142">
        <f>J41*1</f>
        <v>51388.888888888891</v>
      </c>
      <c r="S41" s="77">
        <f t="shared" si="12"/>
        <v>102777.77777777778</v>
      </c>
    </row>
    <row r="42" spans="1:23" ht="28.8" x14ac:dyDescent="0.3">
      <c r="B42" s="90">
        <v>6</v>
      </c>
      <c r="C42" s="143" t="s">
        <v>192</v>
      </c>
      <c r="D42" s="90"/>
      <c r="E42" s="91">
        <v>1</v>
      </c>
      <c r="F42" s="92">
        <f>K188</f>
        <v>54700</v>
      </c>
      <c r="G42" s="90">
        <v>1</v>
      </c>
      <c r="H42" s="90">
        <v>40</v>
      </c>
      <c r="I42" s="93">
        <f t="shared" si="8"/>
        <v>2188000</v>
      </c>
      <c r="J42" s="93">
        <f t="shared" si="9"/>
        <v>40518.518518518518</v>
      </c>
      <c r="K42" s="3"/>
      <c r="L42" s="89"/>
      <c r="M42" s="89"/>
      <c r="N42" s="89"/>
      <c r="O42" s="89"/>
      <c r="P42" s="142">
        <f t="shared" si="10"/>
        <v>0</v>
      </c>
      <c r="Q42" s="142">
        <f>J42*2</f>
        <v>81037.037037037036</v>
      </c>
      <c r="R42" s="158">
        <f>J42*10</f>
        <v>405185.18518518517</v>
      </c>
      <c r="S42" s="77">
        <f t="shared" si="12"/>
        <v>486222.22222222219</v>
      </c>
    </row>
    <row r="43" spans="1:23" s="97" customFormat="1" x14ac:dyDescent="0.3">
      <c r="B43" s="98"/>
      <c r="C43" s="98" t="s">
        <v>56</v>
      </c>
      <c r="D43" s="98"/>
      <c r="E43" s="98"/>
      <c r="F43" s="98"/>
      <c r="G43" s="98"/>
      <c r="H43" s="98"/>
      <c r="I43" s="99"/>
      <c r="J43" s="99"/>
      <c r="K43" s="98"/>
      <c r="L43" s="100">
        <f>L37+L38+L39+L40+L41+L42</f>
        <v>0</v>
      </c>
      <c r="M43" s="100">
        <f t="shared" ref="M43:S43" si="13">M37+M38+M39+M40+M41+M42</f>
        <v>0</v>
      </c>
      <c r="N43" s="100">
        <f t="shared" si="13"/>
        <v>80814.814814814818</v>
      </c>
      <c r="O43" s="100">
        <f t="shared" si="13"/>
        <v>40518.518518518518</v>
      </c>
      <c r="P43" s="100">
        <f t="shared" si="13"/>
        <v>121333.33333333334</v>
      </c>
      <c r="Q43" s="100">
        <f t="shared" si="13"/>
        <v>617759.25925925933</v>
      </c>
      <c r="R43" s="100">
        <f t="shared" si="13"/>
        <v>1153018.5185185184</v>
      </c>
      <c r="S43" s="100">
        <f t="shared" si="13"/>
        <v>1892111.111111111</v>
      </c>
    </row>
    <row r="44" spans="1:23" x14ac:dyDescent="0.3">
      <c r="L44" s="778" t="s">
        <v>26</v>
      </c>
      <c r="M44" s="778"/>
      <c r="N44" s="778"/>
      <c r="O44" s="778"/>
      <c r="P44" s="140" t="s">
        <v>26</v>
      </c>
      <c r="Q44" s="141" t="s">
        <v>27</v>
      </c>
      <c r="R44" s="141" t="s">
        <v>28</v>
      </c>
      <c r="S44" s="86" t="str">
        <f>S34</f>
        <v>Grand Total</v>
      </c>
    </row>
    <row r="45" spans="1:23" x14ac:dyDescent="0.3">
      <c r="A45" s="101"/>
      <c r="B45" s="791" t="s">
        <v>550</v>
      </c>
      <c r="C45" s="790"/>
      <c r="D45" s="790"/>
      <c r="E45" s="790"/>
      <c r="F45" s="790"/>
      <c r="G45" s="790"/>
      <c r="H45" s="790"/>
      <c r="I45" s="790"/>
      <c r="J45" s="790"/>
      <c r="L45" s="80" t="s">
        <v>36</v>
      </c>
      <c r="M45" s="80" t="s">
        <v>37</v>
      </c>
      <c r="N45" s="80" t="s">
        <v>38</v>
      </c>
      <c r="O45" s="80" t="s">
        <v>39</v>
      </c>
      <c r="P45" s="136" t="s">
        <v>9</v>
      </c>
      <c r="Q45" s="142" t="s">
        <v>9</v>
      </c>
      <c r="R45" s="142" t="s">
        <v>9</v>
      </c>
      <c r="S45" s="77"/>
    </row>
    <row r="46" spans="1:23" ht="28.8" x14ac:dyDescent="0.3">
      <c r="A46" s="102"/>
      <c r="B46" s="103"/>
      <c r="C46" s="26" t="s">
        <v>4</v>
      </c>
      <c r="D46" s="87" t="s">
        <v>79</v>
      </c>
      <c r="E46" s="87" t="s">
        <v>80</v>
      </c>
      <c r="F46" s="87" t="s">
        <v>146</v>
      </c>
      <c r="G46" s="87" t="s">
        <v>147</v>
      </c>
      <c r="H46" s="87" t="s">
        <v>148</v>
      </c>
      <c r="I46" s="88" t="s">
        <v>65</v>
      </c>
      <c r="J46" s="88" t="s">
        <v>81</v>
      </c>
      <c r="L46" s="3"/>
      <c r="M46" s="3"/>
      <c r="N46" s="3"/>
      <c r="O46" s="3"/>
      <c r="P46" s="138"/>
      <c r="Q46" s="138"/>
      <c r="R46" s="138"/>
      <c r="S46" s="83"/>
    </row>
    <row r="47" spans="1:23" x14ac:dyDescent="0.3">
      <c r="A47" s="109"/>
      <c r="B47" s="110">
        <v>1</v>
      </c>
      <c r="C47" s="159" t="s">
        <v>193</v>
      </c>
      <c r="D47" s="3"/>
      <c r="E47" s="111">
        <v>1</v>
      </c>
      <c r="F47" s="3">
        <f>K164</f>
        <v>69375</v>
      </c>
      <c r="G47" s="3">
        <v>1</v>
      </c>
      <c r="H47" s="160">
        <v>40</v>
      </c>
      <c r="I47" s="24">
        <f>E47*F47*G47*H47</f>
        <v>2775000</v>
      </c>
      <c r="J47" s="112">
        <f t="shared" ref="J47:J50" si="14">I47/54</f>
        <v>51388.888888888891</v>
      </c>
      <c r="L47" s="3"/>
      <c r="M47" s="3"/>
      <c r="N47" s="3"/>
      <c r="O47" s="112">
        <f>J47</f>
        <v>51388.888888888891</v>
      </c>
      <c r="P47" s="161">
        <f>L47+M47+N47+O47</f>
        <v>51388.888888888891</v>
      </c>
      <c r="Q47" s="161"/>
      <c r="R47" s="161"/>
      <c r="S47" s="114">
        <f>P47+Q47+R47</f>
        <v>51388.888888888891</v>
      </c>
    </row>
    <row r="48" spans="1:23" x14ac:dyDescent="0.3">
      <c r="A48" s="109"/>
      <c r="B48" s="110">
        <v>2</v>
      </c>
      <c r="C48" s="143" t="s">
        <v>551</v>
      </c>
      <c r="D48" s="79"/>
      <c r="E48" s="111">
        <v>1</v>
      </c>
      <c r="F48" s="3">
        <f>K236</f>
        <v>45950</v>
      </c>
      <c r="G48" s="3">
        <v>1</v>
      </c>
      <c r="H48" s="160">
        <v>40</v>
      </c>
      <c r="I48" s="24">
        <f>E48*F48*G48*H48</f>
        <v>1838000</v>
      </c>
      <c r="J48" s="112">
        <f t="shared" si="14"/>
        <v>34037.037037037036</v>
      </c>
      <c r="L48" s="3"/>
      <c r="M48" s="3"/>
      <c r="N48" s="3"/>
      <c r="O48" s="112"/>
      <c r="P48" s="161">
        <f t="shared" ref="P48:P50" si="15">L48+M48+N48+O48</f>
        <v>0</v>
      </c>
      <c r="Q48" s="162">
        <f>J48*6</f>
        <v>204222.22222222222</v>
      </c>
      <c r="R48" s="162">
        <f>J48*12</f>
        <v>408444.44444444444</v>
      </c>
      <c r="S48" s="114">
        <f t="shared" ref="S48:S50" si="16">P48+Q48+R48</f>
        <v>612666.66666666663</v>
      </c>
    </row>
    <row r="49" spans="1:19" ht="21" x14ac:dyDescent="0.4">
      <c r="A49" s="109"/>
      <c r="B49" s="110">
        <v>3</v>
      </c>
      <c r="C49" s="159" t="s">
        <v>194</v>
      </c>
      <c r="D49" s="79"/>
      <c r="E49" s="111">
        <v>1</v>
      </c>
      <c r="F49" s="3">
        <v>9000000</v>
      </c>
      <c r="G49" s="3">
        <v>1</v>
      </c>
      <c r="H49" s="160">
        <v>1</v>
      </c>
      <c r="I49" s="24">
        <f>E49*F49*G49*H49</f>
        <v>9000000</v>
      </c>
      <c r="J49" s="112">
        <f t="shared" si="14"/>
        <v>166666.66666666666</v>
      </c>
      <c r="L49" s="618"/>
      <c r="M49" s="618"/>
      <c r="N49" s="618"/>
      <c r="O49" s="640">
        <f>J49/2</f>
        <v>83333.333333333328</v>
      </c>
      <c r="P49" s="641">
        <f t="shared" si="15"/>
        <v>83333.333333333328</v>
      </c>
      <c r="Q49" s="641">
        <f>J49/2</f>
        <v>83333.333333333328</v>
      </c>
      <c r="R49" s="642"/>
      <c r="S49" s="643">
        <f t="shared" si="16"/>
        <v>166666.66666666666</v>
      </c>
    </row>
    <row r="50" spans="1:19" x14ac:dyDescent="0.3">
      <c r="A50" s="109"/>
      <c r="B50" s="110">
        <v>4</v>
      </c>
      <c r="C50" s="143" t="s">
        <v>195</v>
      </c>
      <c r="D50" s="79"/>
      <c r="E50" s="111">
        <v>1</v>
      </c>
      <c r="F50" s="3">
        <f>K164</f>
        <v>69375</v>
      </c>
      <c r="G50" s="3">
        <v>1</v>
      </c>
      <c r="H50" s="160">
        <v>40</v>
      </c>
      <c r="I50" s="24">
        <f>E50*F50*G50*H50</f>
        <v>2775000</v>
      </c>
      <c r="J50" s="112">
        <f t="shared" si="14"/>
        <v>51388.888888888891</v>
      </c>
      <c r="L50" s="3"/>
      <c r="M50" s="3"/>
      <c r="N50" s="133">
        <f>J50*1</f>
        <v>51388.888888888891</v>
      </c>
      <c r="O50" s="112"/>
      <c r="P50" s="161">
        <f t="shared" si="15"/>
        <v>51388.888888888891</v>
      </c>
      <c r="Q50" s="161"/>
      <c r="R50" s="163">
        <f>J50*1</f>
        <v>51388.888888888891</v>
      </c>
      <c r="S50" s="114">
        <f t="shared" si="16"/>
        <v>102777.77777777778</v>
      </c>
    </row>
    <row r="51" spans="1:19" x14ac:dyDescent="0.3">
      <c r="A51" s="102"/>
      <c r="B51" s="115"/>
      <c r="C51" s="116" t="s">
        <v>56</v>
      </c>
      <c r="D51" s="116"/>
      <c r="E51" s="117"/>
      <c r="F51" s="116"/>
      <c r="G51" s="116"/>
      <c r="H51" s="118"/>
      <c r="I51" s="119"/>
      <c r="J51" s="119"/>
      <c r="K51" s="617"/>
      <c r="L51" s="164">
        <f>L47+L48+L49+L50</f>
        <v>0</v>
      </c>
      <c r="M51" s="164">
        <f t="shared" ref="M51:S51" si="17">M47+M48+M49+M50</f>
        <v>0</v>
      </c>
      <c r="N51" s="164">
        <f t="shared" si="17"/>
        <v>51388.888888888891</v>
      </c>
      <c r="O51" s="164">
        <f t="shared" si="17"/>
        <v>134722.22222222222</v>
      </c>
      <c r="P51" s="164">
        <f t="shared" si="17"/>
        <v>186111.11111111112</v>
      </c>
      <c r="Q51" s="164">
        <f t="shared" si="17"/>
        <v>287555.55555555556</v>
      </c>
      <c r="R51" s="164">
        <f t="shared" si="17"/>
        <v>459833.33333333331</v>
      </c>
      <c r="S51" s="164">
        <f t="shared" si="17"/>
        <v>933499.99999999988</v>
      </c>
    </row>
    <row r="52" spans="1:19" s="2" customFormat="1" x14ac:dyDescent="0.3">
      <c r="L52" s="778" t="s">
        <v>26</v>
      </c>
      <c r="M52" s="778"/>
      <c r="N52" s="778"/>
      <c r="O52" s="778"/>
      <c r="P52" s="140" t="s">
        <v>26</v>
      </c>
      <c r="Q52" s="141" t="s">
        <v>27</v>
      </c>
      <c r="R52" s="141" t="s">
        <v>28</v>
      </c>
      <c r="S52" s="86" t="str">
        <f>S44</f>
        <v>Grand Total</v>
      </c>
    </row>
    <row r="53" spans="1:19" x14ac:dyDescent="0.3">
      <c r="B53" s="790" t="str">
        <f>C5</f>
        <v>Integration of VLM system based on existing models</v>
      </c>
      <c r="C53" s="790"/>
      <c r="D53" s="790"/>
      <c r="E53" s="790"/>
      <c r="F53" s="790"/>
      <c r="G53" s="790"/>
      <c r="H53" s="790"/>
      <c r="I53" s="790"/>
      <c r="J53" s="790"/>
      <c r="K53" s="3"/>
      <c r="L53" s="80" t="s">
        <v>36</v>
      </c>
      <c r="M53" s="80" t="s">
        <v>37</v>
      </c>
      <c r="N53" s="80" t="s">
        <v>38</v>
      </c>
      <c r="O53" s="80" t="s">
        <v>39</v>
      </c>
      <c r="P53" s="136" t="s">
        <v>9</v>
      </c>
      <c r="Q53" s="142" t="s">
        <v>9</v>
      </c>
      <c r="R53" s="142" t="s">
        <v>9</v>
      </c>
      <c r="S53" s="77"/>
    </row>
    <row r="54" spans="1:19" ht="28.8" x14ac:dyDescent="0.3">
      <c r="B54" s="87"/>
      <c r="C54" s="87" t="s">
        <v>145</v>
      </c>
      <c r="D54" s="87" t="s">
        <v>79</v>
      </c>
      <c r="E54" s="87" t="s">
        <v>80</v>
      </c>
      <c r="F54" s="87" t="s">
        <v>146</v>
      </c>
      <c r="G54" s="87" t="s">
        <v>147</v>
      </c>
      <c r="H54" s="87" t="s">
        <v>148</v>
      </c>
      <c r="I54" s="88" t="s">
        <v>65</v>
      </c>
      <c r="J54" s="88" t="s">
        <v>81</v>
      </c>
      <c r="K54" s="3"/>
      <c r="L54" s="89"/>
      <c r="M54" s="89"/>
      <c r="N54" s="89"/>
      <c r="O54" s="89"/>
      <c r="P54" s="142"/>
      <c r="Q54" s="142"/>
      <c r="R54" s="142"/>
      <c r="S54" s="77"/>
    </row>
    <row r="55" spans="1:19" x14ac:dyDescent="0.3">
      <c r="B55" s="90">
        <v>1</v>
      </c>
      <c r="C55" s="91" t="s">
        <v>196</v>
      </c>
      <c r="D55" s="90"/>
      <c r="E55" s="91">
        <v>1</v>
      </c>
      <c r="F55" s="92">
        <f>K164</f>
        <v>69375</v>
      </c>
      <c r="G55" s="90">
        <v>1</v>
      </c>
      <c r="H55" s="90">
        <v>40</v>
      </c>
      <c r="I55" s="93">
        <f>E55*F55*G55*H55</f>
        <v>2775000</v>
      </c>
      <c r="J55" s="94">
        <f t="shared" ref="J55:J59" si="18">I55/54</f>
        <v>51388.888888888891</v>
      </c>
      <c r="K55" s="3"/>
      <c r="L55" s="89"/>
      <c r="M55" s="89"/>
      <c r="N55" s="89">
        <f>J55*1</f>
        <v>51388.888888888891</v>
      </c>
      <c r="O55" s="89"/>
      <c r="P55" s="142">
        <f>L55+M55+N55+O55</f>
        <v>51388.888888888891</v>
      </c>
      <c r="Q55" s="142"/>
      <c r="R55" s="142"/>
      <c r="S55" s="77">
        <f>P55+Q55+R55</f>
        <v>51388.888888888891</v>
      </c>
    </row>
    <row r="56" spans="1:19" x14ac:dyDescent="0.3">
      <c r="B56" s="90">
        <v>2</v>
      </c>
      <c r="C56" s="91" t="s">
        <v>197</v>
      </c>
      <c r="D56" s="90"/>
      <c r="E56" s="91">
        <v>1</v>
      </c>
      <c r="F56" s="92">
        <v>9000000</v>
      </c>
      <c r="G56" s="90">
        <v>1</v>
      </c>
      <c r="H56" s="90">
        <v>1</v>
      </c>
      <c r="I56" s="93">
        <f>E56*F56*G56*H56</f>
        <v>9000000</v>
      </c>
      <c r="J56" s="94">
        <f t="shared" si="18"/>
        <v>166666.66666666666</v>
      </c>
      <c r="K56" s="3"/>
      <c r="L56" s="89"/>
      <c r="M56" s="89"/>
      <c r="N56" s="89"/>
      <c r="O56" s="89">
        <f>J56/2</f>
        <v>83333.333333333328</v>
      </c>
      <c r="P56" s="142">
        <f t="shared" ref="P56:P60" si="19">L56+M56+N56+O56</f>
        <v>83333.333333333328</v>
      </c>
      <c r="Q56" s="142">
        <f>J56/2</f>
        <v>83333.333333333328</v>
      </c>
      <c r="R56" s="142"/>
      <c r="S56" s="77">
        <f t="shared" ref="S56:S60" si="20">P56+Q56+R56</f>
        <v>166666.66666666666</v>
      </c>
    </row>
    <row r="57" spans="1:19" ht="28.8" x14ac:dyDescent="0.3">
      <c r="B57" s="90">
        <v>3</v>
      </c>
      <c r="C57" s="143" t="s">
        <v>198</v>
      </c>
      <c r="D57" s="90"/>
      <c r="E57" s="91">
        <v>1</v>
      </c>
      <c r="F57" s="92">
        <f>K236</f>
        <v>45950</v>
      </c>
      <c r="G57" s="90">
        <v>1</v>
      </c>
      <c r="H57" s="90">
        <v>40</v>
      </c>
      <c r="I57" s="93">
        <f>E57*F57*G57*H57</f>
        <v>1838000</v>
      </c>
      <c r="J57" s="94">
        <f t="shared" si="18"/>
        <v>34037.037037037036</v>
      </c>
      <c r="K57" s="3"/>
      <c r="L57" s="89"/>
      <c r="M57" s="89"/>
      <c r="N57" s="89"/>
      <c r="O57" s="89"/>
      <c r="P57" s="142">
        <f t="shared" si="19"/>
        <v>0</v>
      </c>
      <c r="Q57" s="142">
        <f>J57*3</f>
        <v>102111.11111111111</v>
      </c>
      <c r="R57" s="142"/>
      <c r="S57" s="77">
        <f t="shared" si="20"/>
        <v>102111.11111111111</v>
      </c>
    </row>
    <row r="58" spans="1:19" x14ac:dyDescent="0.3">
      <c r="B58" s="90">
        <v>4</v>
      </c>
      <c r="C58" s="143" t="s">
        <v>199</v>
      </c>
      <c r="D58" s="90"/>
      <c r="E58" s="91">
        <v>1</v>
      </c>
      <c r="F58" s="92">
        <f>K284</f>
        <v>107875</v>
      </c>
      <c r="G58" s="90">
        <v>1</v>
      </c>
      <c r="H58" s="90">
        <v>40</v>
      </c>
      <c r="I58" s="93">
        <f>E58*F58*G58*H58</f>
        <v>4315000</v>
      </c>
      <c r="J58" s="94">
        <f t="shared" si="18"/>
        <v>79907.407407407401</v>
      </c>
      <c r="K58" s="3"/>
      <c r="L58" s="89"/>
      <c r="M58" s="89"/>
      <c r="N58" s="89"/>
      <c r="O58" s="89"/>
      <c r="P58" s="142">
        <f t="shared" si="19"/>
        <v>0</v>
      </c>
      <c r="Q58" s="142">
        <f>J58*1</f>
        <v>79907.407407407401</v>
      </c>
      <c r="R58" s="142"/>
      <c r="S58" s="77">
        <f t="shared" si="20"/>
        <v>79907.407407407401</v>
      </c>
    </row>
    <row r="59" spans="1:19" x14ac:dyDescent="0.3">
      <c r="B59" s="90">
        <v>5</v>
      </c>
      <c r="C59" s="143" t="s">
        <v>200</v>
      </c>
      <c r="D59" s="90"/>
      <c r="E59" s="90">
        <v>1</v>
      </c>
      <c r="F59" s="92">
        <f>K236</f>
        <v>45950</v>
      </c>
      <c r="G59" s="90">
        <v>1</v>
      </c>
      <c r="H59" s="90">
        <v>40</v>
      </c>
      <c r="I59" s="93">
        <f>E59*F59*G59*H59</f>
        <v>1838000</v>
      </c>
      <c r="J59" s="93">
        <f t="shared" si="18"/>
        <v>34037.037037037036</v>
      </c>
      <c r="K59" s="3"/>
      <c r="L59" s="89"/>
      <c r="M59" s="89"/>
      <c r="N59" s="89"/>
      <c r="O59" s="89"/>
      <c r="P59" s="142">
        <f t="shared" si="19"/>
        <v>0</v>
      </c>
      <c r="Q59" s="142">
        <f>J59*3</f>
        <v>102111.11111111111</v>
      </c>
      <c r="R59" s="142">
        <f>J59*6</f>
        <v>204222.22222222222</v>
      </c>
      <c r="S59" s="77">
        <f t="shared" si="20"/>
        <v>306333.33333333331</v>
      </c>
    </row>
    <row r="60" spans="1:19" ht="28.8" x14ac:dyDescent="0.3">
      <c r="B60" s="90">
        <v>6</v>
      </c>
      <c r="C60" s="143" t="s">
        <v>201</v>
      </c>
      <c r="D60" s="90"/>
      <c r="E60" s="91"/>
      <c r="F60" s="92"/>
      <c r="G60" s="90"/>
      <c r="H60" s="90"/>
      <c r="I60" s="93"/>
      <c r="J60" s="93"/>
      <c r="K60" s="3"/>
      <c r="L60" s="89"/>
      <c r="M60" s="89"/>
      <c r="N60" s="89"/>
      <c r="O60" s="89"/>
      <c r="P60" s="142">
        <f t="shared" si="19"/>
        <v>0</v>
      </c>
      <c r="Q60" s="142">
        <f>J60*2</f>
        <v>0</v>
      </c>
      <c r="R60" s="158">
        <f>J60*10</f>
        <v>0</v>
      </c>
      <c r="S60" s="77">
        <f t="shared" si="20"/>
        <v>0</v>
      </c>
    </row>
    <row r="61" spans="1:19" ht="28.8" x14ac:dyDescent="0.3">
      <c r="B61" s="90">
        <v>7</v>
      </c>
      <c r="C61" s="143" t="s">
        <v>202</v>
      </c>
      <c r="D61" s="90"/>
      <c r="E61" s="91"/>
      <c r="F61" s="92"/>
      <c r="G61" s="90"/>
      <c r="H61" s="90"/>
      <c r="I61" s="93"/>
      <c r="J61" s="93"/>
      <c r="K61" s="3"/>
      <c r="L61" s="89"/>
      <c r="M61" s="89"/>
      <c r="N61" s="89"/>
      <c r="O61" s="89"/>
      <c r="P61" s="142"/>
      <c r="Q61" s="142"/>
      <c r="R61" s="158"/>
      <c r="S61" s="77"/>
    </row>
    <row r="62" spans="1:19" s="97" customFormat="1" x14ac:dyDescent="0.3">
      <c r="B62" s="98"/>
      <c r="C62" s="98" t="s">
        <v>56</v>
      </c>
      <c r="D62" s="98"/>
      <c r="E62" s="98"/>
      <c r="F62" s="98"/>
      <c r="G62" s="98"/>
      <c r="H62" s="98"/>
      <c r="I62" s="99"/>
      <c r="J62" s="99"/>
      <c r="K62" s="98"/>
      <c r="L62" s="100">
        <f>L55+L56+L57+L58+L59+L60+L61</f>
        <v>0</v>
      </c>
      <c r="M62" s="100">
        <f t="shared" ref="M62:S62" si="21">M55+M56+M57+M58+M59+M60+M61</f>
        <v>0</v>
      </c>
      <c r="N62" s="100">
        <f t="shared" si="21"/>
        <v>51388.888888888891</v>
      </c>
      <c r="O62" s="100">
        <f t="shared" si="21"/>
        <v>83333.333333333328</v>
      </c>
      <c r="P62" s="100">
        <f t="shared" si="21"/>
        <v>134722.22222222222</v>
      </c>
      <c r="Q62" s="100">
        <f t="shared" si="21"/>
        <v>367462.96296296298</v>
      </c>
      <c r="R62" s="100">
        <f t="shared" si="21"/>
        <v>204222.22222222222</v>
      </c>
      <c r="S62" s="100">
        <f t="shared" si="21"/>
        <v>706407.40740740742</v>
      </c>
    </row>
    <row r="63" spans="1:19" s="383" customFormat="1" x14ac:dyDescent="0.3">
      <c r="B63" s="384"/>
      <c r="C63" s="384"/>
      <c r="D63" s="384"/>
      <c r="E63" s="384"/>
      <c r="F63" s="384"/>
      <c r="G63" s="384"/>
      <c r="H63" s="384"/>
      <c r="I63" s="385"/>
      <c r="J63" s="385"/>
      <c r="K63" s="384"/>
      <c r="L63" s="386"/>
      <c r="M63" s="386"/>
      <c r="N63" s="386"/>
      <c r="O63" s="386"/>
      <c r="P63" s="386"/>
      <c r="Q63" s="386"/>
      <c r="R63" s="386"/>
      <c r="S63" s="386"/>
    </row>
    <row r="64" spans="1:19" s="148" customFormat="1" x14ac:dyDescent="0.3">
      <c r="B64" s="779" t="s">
        <v>59</v>
      </c>
      <c r="C64" s="780"/>
      <c r="D64" s="780"/>
      <c r="E64" s="780"/>
      <c r="F64" s="780"/>
      <c r="G64" s="780"/>
      <c r="H64" s="780"/>
      <c r="I64" s="780"/>
      <c r="J64" s="781"/>
      <c r="L64" s="782" t="s">
        <v>26</v>
      </c>
      <c r="M64" s="782"/>
      <c r="N64" s="782"/>
      <c r="O64" s="782"/>
      <c r="P64" s="75">
        <f>P57</f>
        <v>0</v>
      </c>
      <c r="Q64" s="76" t="s">
        <v>27</v>
      </c>
      <c r="R64" s="76" t="s">
        <v>28</v>
      </c>
      <c r="S64" s="77" t="s">
        <v>9</v>
      </c>
    </row>
    <row r="65" spans="1:24" s="148" customFormat="1" x14ac:dyDescent="0.3">
      <c r="B65" s="378"/>
      <c r="C65" s="378"/>
      <c r="D65" s="378"/>
      <c r="E65" s="356"/>
      <c r="F65" s="378"/>
      <c r="G65" s="378"/>
      <c r="H65" s="379"/>
      <c r="I65" s="380"/>
      <c r="J65" s="380"/>
      <c r="L65" s="80" t="s">
        <v>36</v>
      </c>
      <c r="M65" s="80" t="s">
        <v>37</v>
      </c>
      <c r="N65" s="80" t="s">
        <v>38</v>
      </c>
      <c r="O65" s="80" t="s">
        <v>39</v>
      </c>
      <c r="P65" s="75" t="s">
        <v>9</v>
      </c>
      <c r="Q65" s="81" t="s">
        <v>9</v>
      </c>
      <c r="R65" s="81" t="s">
        <v>9</v>
      </c>
      <c r="S65" s="77"/>
    </row>
    <row r="66" spans="1:24" s="148" customFormat="1" x14ac:dyDescent="0.3">
      <c r="B66" s="378" t="str">
        <f>B3</f>
        <v>1.4.1</v>
      </c>
      <c r="C66" s="378" t="str">
        <f>C3</f>
        <v>EVMs Conducted and PIPs implemented in Larger states</v>
      </c>
      <c r="D66" s="378"/>
      <c r="E66" s="356"/>
      <c r="F66" s="378"/>
      <c r="G66" s="378"/>
      <c r="H66" s="379"/>
      <c r="I66" s="380"/>
      <c r="J66" s="380"/>
      <c r="L66" s="381">
        <f>L43</f>
        <v>0</v>
      </c>
      <c r="M66" s="381">
        <f t="shared" ref="M66:S66" si="22">M43</f>
        <v>0</v>
      </c>
      <c r="N66" s="381">
        <f t="shared" si="22"/>
        <v>80814.814814814818</v>
      </c>
      <c r="O66" s="381">
        <f t="shared" si="22"/>
        <v>40518.518518518518</v>
      </c>
      <c r="P66" s="381">
        <f t="shared" si="22"/>
        <v>121333.33333333334</v>
      </c>
      <c r="Q66" s="381">
        <f t="shared" si="22"/>
        <v>617759.25925925933</v>
      </c>
      <c r="R66" s="381">
        <f t="shared" si="22"/>
        <v>1153018.5185185184</v>
      </c>
      <c r="S66" s="381">
        <f t="shared" si="22"/>
        <v>1892111.111111111</v>
      </c>
    </row>
    <row r="67" spans="1:24" s="148" customFormat="1" x14ac:dyDescent="0.3">
      <c r="B67" s="378" t="str">
        <f t="shared" ref="B67:C68" si="23">B4</f>
        <v>1.4.2</v>
      </c>
      <c r="C67" s="378" t="str">
        <f t="shared" si="23"/>
        <v>Nationwide rollout of the national cold chain MIS</v>
      </c>
      <c r="D67" s="378"/>
      <c r="E67" s="356"/>
      <c r="F67" s="378"/>
      <c r="G67" s="378"/>
      <c r="H67" s="379"/>
      <c r="I67" s="380"/>
      <c r="J67" s="380"/>
      <c r="L67" s="147">
        <f>L51</f>
        <v>0</v>
      </c>
      <c r="M67" s="147">
        <f t="shared" ref="M67:S67" si="24">M51</f>
        <v>0</v>
      </c>
      <c r="N67" s="147">
        <f t="shared" si="24"/>
        <v>51388.888888888891</v>
      </c>
      <c r="O67" s="147">
        <f t="shared" si="24"/>
        <v>134722.22222222222</v>
      </c>
      <c r="P67" s="147">
        <f t="shared" si="24"/>
        <v>186111.11111111112</v>
      </c>
      <c r="Q67" s="147">
        <f t="shared" si="24"/>
        <v>287555.55555555556</v>
      </c>
      <c r="R67" s="147">
        <f t="shared" si="24"/>
        <v>459833.33333333331</v>
      </c>
      <c r="S67" s="147">
        <f t="shared" si="24"/>
        <v>933499.99999999988</v>
      </c>
    </row>
    <row r="68" spans="1:24" s="148" customFormat="1" x14ac:dyDescent="0.3">
      <c r="B68" s="378" t="str">
        <f t="shared" si="23"/>
        <v>1.4.3</v>
      </c>
      <c r="C68" s="378" t="str">
        <f t="shared" si="23"/>
        <v>Integration of VLM system based on existing models</v>
      </c>
      <c r="D68" s="378"/>
      <c r="E68" s="356"/>
      <c r="F68" s="378"/>
      <c r="G68" s="378"/>
      <c r="H68" s="379"/>
      <c r="I68" s="380"/>
      <c r="J68" s="380"/>
      <c r="L68" s="381">
        <f>L62</f>
        <v>0</v>
      </c>
      <c r="M68" s="381">
        <f t="shared" ref="M68:S68" si="25">M62</f>
        <v>0</v>
      </c>
      <c r="N68" s="381">
        <f t="shared" si="25"/>
        <v>51388.888888888891</v>
      </c>
      <c r="O68" s="381">
        <f t="shared" si="25"/>
        <v>83333.333333333328</v>
      </c>
      <c r="P68" s="381">
        <f t="shared" si="25"/>
        <v>134722.22222222222</v>
      </c>
      <c r="Q68" s="381">
        <f t="shared" si="25"/>
        <v>367462.96296296298</v>
      </c>
      <c r="R68" s="381">
        <f t="shared" si="25"/>
        <v>204222.22222222222</v>
      </c>
      <c r="S68" s="381">
        <f t="shared" si="25"/>
        <v>706407.40740740742</v>
      </c>
    </row>
    <row r="69" spans="1:24" s="148" customFormat="1" ht="14.25" customHeight="1" x14ac:dyDescent="0.3">
      <c r="B69" s="378"/>
      <c r="C69" s="378"/>
      <c r="D69" s="378"/>
      <c r="E69" s="356"/>
      <c r="F69" s="378"/>
      <c r="G69" s="378"/>
      <c r="H69" s="379"/>
      <c r="I69" s="380"/>
      <c r="J69" s="380"/>
      <c r="L69" s="79"/>
      <c r="M69" s="79"/>
      <c r="N69" s="79"/>
      <c r="O69" s="381"/>
      <c r="P69" s="382"/>
      <c r="Q69" s="382"/>
      <c r="R69" s="382"/>
      <c r="S69" s="382"/>
    </row>
    <row r="70" spans="1:24" s="383" customFormat="1" x14ac:dyDescent="0.3">
      <c r="B70" s="384"/>
      <c r="C70" s="384"/>
      <c r="D70" s="384"/>
      <c r="E70" s="384"/>
      <c r="F70" s="384"/>
      <c r="G70" s="384"/>
      <c r="H70" s="384"/>
      <c r="I70" s="385"/>
      <c r="J70" s="385"/>
      <c r="K70" s="384"/>
      <c r="L70" s="386"/>
      <c r="M70" s="386"/>
      <c r="N70" s="386"/>
      <c r="O70" s="386"/>
      <c r="P70" s="386"/>
      <c r="Q70" s="386"/>
      <c r="R70" s="386"/>
      <c r="S70" s="386"/>
    </row>
    <row r="71" spans="1:24" s="383" customFormat="1" x14ac:dyDescent="0.3">
      <c r="B71" s="384"/>
      <c r="C71" s="384"/>
      <c r="D71" s="384"/>
      <c r="E71" s="384"/>
      <c r="F71" s="384"/>
      <c r="G71" s="384"/>
      <c r="H71" s="384"/>
      <c r="I71" s="385"/>
      <c r="J71" s="385"/>
      <c r="K71" s="384"/>
      <c r="L71" s="386"/>
      <c r="M71" s="386"/>
      <c r="N71" s="386"/>
      <c r="O71" s="386"/>
      <c r="P71" s="386"/>
      <c r="Q71" s="386"/>
      <c r="R71" s="386"/>
      <c r="S71" s="386"/>
      <c r="X71" s="644"/>
    </row>
    <row r="72" spans="1:24" s="383" customFormat="1" x14ac:dyDescent="0.3">
      <c r="B72" s="384"/>
      <c r="C72" s="384"/>
      <c r="D72" s="384"/>
      <c r="E72" s="384"/>
      <c r="F72" s="384"/>
      <c r="G72" s="384"/>
      <c r="H72" s="384"/>
      <c r="I72" s="385"/>
      <c r="J72" s="385"/>
      <c r="K72" s="384"/>
      <c r="L72" s="386"/>
      <c r="M72" s="386"/>
      <c r="N72" s="386"/>
      <c r="O72" s="386"/>
      <c r="P72" s="386"/>
      <c r="Q72" s="386"/>
      <c r="R72" s="386"/>
      <c r="S72" s="386"/>
    </row>
    <row r="73" spans="1:24" s="383" customFormat="1" x14ac:dyDescent="0.3">
      <c r="B73" s="384"/>
      <c r="C73" s="384"/>
      <c r="D73" s="384"/>
      <c r="E73" s="384"/>
      <c r="F73" s="384"/>
      <c r="G73" s="384"/>
      <c r="H73" s="384"/>
      <c r="I73" s="385"/>
      <c r="J73" s="385"/>
      <c r="K73" s="384"/>
      <c r="L73" s="386"/>
      <c r="M73" s="386"/>
      <c r="N73" s="386"/>
      <c r="O73" s="386"/>
      <c r="P73" s="386"/>
      <c r="Q73" s="386"/>
      <c r="R73" s="386"/>
      <c r="S73" s="386"/>
    </row>
    <row r="74" spans="1:24" s="383" customFormat="1" x14ac:dyDescent="0.3">
      <c r="B74" s="384"/>
      <c r="C74" s="384"/>
      <c r="D74" s="384"/>
      <c r="E74" s="384"/>
      <c r="F74" s="384"/>
      <c r="G74" s="384"/>
      <c r="H74" s="384"/>
      <c r="I74" s="385"/>
      <c r="J74" s="385"/>
      <c r="K74" s="384"/>
      <c r="L74" s="386"/>
      <c r="M74" s="386"/>
      <c r="N74" s="386"/>
      <c r="O74" s="386"/>
      <c r="P74" s="386"/>
      <c r="Q74" s="386"/>
      <c r="R74" s="386"/>
      <c r="S74" s="386"/>
      <c r="T74" s="384"/>
    </row>
    <row r="75" spans="1:24" x14ac:dyDescent="0.3">
      <c r="M75" s="4"/>
      <c r="N75" s="4"/>
      <c r="O75" s="4"/>
      <c r="P75" s="4"/>
      <c r="Q75" s="4"/>
      <c r="R75" s="4"/>
      <c r="S75" s="4"/>
      <c r="T75" s="4"/>
    </row>
    <row r="76" spans="1:24" x14ac:dyDescent="0.3">
      <c r="B76" s="783" t="s">
        <v>61</v>
      </c>
      <c r="C76" s="783"/>
      <c r="D76" s="783"/>
      <c r="E76" s="783"/>
      <c r="F76" s="783"/>
      <c r="G76" s="783"/>
      <c r="H76" s="783"/>
      <c r="I76" s="783"/>
      <c r="J76" s="783"/>
      <c r="M76" s="4"/>
      <c r="N76" s="793"/>
      <c r="O76" s="793"/>
      <c r="P76" s="793"/>
      <c r="Q76" s="793"/>
      <c r="R76" s="793"/>
      <c r="S76" s="793"/>
      <c r="T76" s="793"/>
    </row>
    <row r="77" spans="1:24" s="148" customFormat="1" x14ac:dyDescent="0.3">
      <c r="B77" s="645"/>
      <c r="C77" s="645"/>
      <c r="D77" s="645"/>
      <c r="E77" s="645"/>
      <c r="F77" s="645"/>
      <c r="G77" s="645"/>
      <c r="H77" s="645"/>
      <c r="I77" s="645"/>
      <c r="J77" s="645"/>
      <c r="M77" s="41"/>
      <c r="N77" s="793"/>
      <c r="O77" s="793"/>
      <c r="P77" s="793"/>
      <c r="Q77" s="793"/>
      <c r="R77" s="793"/>
      <c r="S77" s="793"/>
      <c r="T77" s="793"/>
    </row>
    <row r="78" spans="1:24" x14ac:dyDescent="0.3">
      <c r="A78" s="798" t="str">
        <f>C37</f>
        <v>Undertake Effective Vaccine Management (EVM) mission (Training, assessment, supportive supervision during assessment) in 9 States</v>
      </c>
      <c r="B78" s="799"/>
      <c r="C78" s="799"/>
      <c r="D78" s="799"/>
      <c r="E78" s="799"/>
      <c r="F78" s="799"/>
      <c r="G78" s="799"/>
      <c r="H78" s="799"/>
      <c r="I78" s="799"/>
      <c r="J78" s="799"/>
      <c r="M78" s="4"/>
      <c r="N78" s="793"/>
      <c r="O78" s="793"/>
      <c r="P78" s="793"/>
      <c r="Q78" s="793"/>
      <c r="R78" s="793"/>
      <c r="S78" s="793"/>
      <c r="T78" s="793"/>
    </row>
    <row r="79" spans="1:24" x14ac:dyDescent="0.3">
      <c r="A79" s="26"/>
      <c r="B79" s="26"/>
      <c r="C79" s="26" t="s">
        <v>4</v>
      </c>
      <c r="D79" s="26" t="s">
        <v>79</v>
      </c>
      <c r="E79" s="26" t="s">
        <v>80</v>
      </c>
      <c r="F79" s="26" t="s">
        <v>50</v>
      </c>
      <c r="G79" s="26" t="s">
        <v>57</v>
      </c>
      <c r="H79" s="27" t="s">
        <v>53</v>
      </c>
      <c r="I79" s="28" t="s">
        <v>65</v>
      </c>
      <c r="J79" s="28" t="s">
        <v>81</v>
      </c>
      <c r="M79" s="4"/>
      <c r="N79" s="793"/>
      <c r="O79" s="793"/>
      <c r="P79" s="793"/>
      <c r="Q79" s="793"/>
      <c r="R79" s="793"/>
      <c r="S79" s="793"/>
      <c r="T79" s="793"/>
    </row>
    <row r="80" spans="1:24" x14ac:dyDescent="0.3">
      <c r="A80" s="774"/>
      <c r="B80" s="775"/>
      <c r="C80" s="775"/>
      <c r="D80" s="776"/>
      <c r="E80" s="107"/>
      <c r="F80" s="107"/>
      <c r="G80" s="107"/>
      <c r="H80" s="108"/>
      <c r="I80" s="107"/>
      <c r="J80" s="107"/>
      <c r="M80" s="4"/>
      <c r="N80" s="793"/>
      <c r="O80" s="793"/>
      <c r="P80" s="793"/>
      <c r="Q80" s="793"/>
      <c r="R80" s="793"/>
      <c r="S80" s="793"/>
      <c r="T80" s="793"/>
    </row>
    <row r="81" spans="1:20" x14ac:dyDescent="0.3">
      <c r="A81" s="3">
        <v>1</v>
      </c>
      <c r="B81" s="3" t="s">
        <v>108</v>
      </c>
      <c r="C81" s="3"/>
      <c r="D81" s="3"/>
      <c r="E81" s="3"/>
      <c r="F81" s="3"/>
      <c r="G81" s="3"/>
      <c r="H81" s="16"/>
      <c r="I81" s="3"/>
      <c r="J81" s="3"/>
      <c r="M81" s="4"/>
      <c r="N81" s="793"/>
      <c r="O81" s="793"/>
      <c r="P81" s="793"/>
      <c r="Q81" s="793"/>
      <c r="R81" s="793"/>
      <c r="S81" s="793"/>
      <c r="T81" s="793"/>
    </row>
    <row r="82" spans="1:20" x14ac:dyDescent="0.3">
      <c r="A82" s="3"/>
      <c r="B82" s="3" t="s">
        <v>84</v>
      </c>
      <c r="C82" s="3"/>
      <c r="D82" s="3" t="s">
        <v>85</v>
      </c>
      <c r="E82" s="3">
        <v>2</v>
      </c>
      <c r="F82" s="111">
        <v>15000</v>
      </c>
      <c r="G82" s="3">
        <v>6</v>
      </c>
      <c r="H82" s="16">
        <v>1</v>
      </c>
      <c r="I82" s="89">
        <f>E82*F82*G82*H82</f>
        <v>180000</v>
      </c>
      <c r="J82" s="89">
        <f>I82/54</f>
        <v>3333.3333333333335</v>
      </c>
      <c r="M82" s="4"/>
      <c r="N82" s="793"/>
      <c r="O82" s="793"/>
      <c r="P82" s="793"/>
      <c r="Q82" s="793"/>
      <c r="R82" s="793"/>
      <c r="S82" s="793"/>
      <c r="T82" s="793"/>
    </row>
    <row r="83" spans="1:20" x14ac:dyDescent="0.3">
      <c r="A83" s="3"/>
      <c r="B83" s="3" t="s">
        <v>86</v>
      </c>
      <c r="C83" s="3" t="s">
        <v>87</v>
      </c>
      <c r="D83" s="3"/>
      <c r="E83" s="3"/>
      <c r="F83" s="111"/>
      <c r="G83" s="3"/>
      <c r="H83" s="16"/>
      <c r="I83" s="89"/>
      <c r="J83" s="89">
        <f t="shared" ref="J83:J86" si="26">I83/54</f>
        <v>0</v>
      </c>
    </row>
    <row r="84" spans="1:20" x14ac:dyDescent="0.3">
      <c r="A84" s="3"/>
      <c r="B84" s="3"/>
      <c r="C84" s="3" t="s">
        <v>88</v>
      </c>
      <c r="D84" s="3"/>
      <c r="E84" s="79">
        <v>2</v>
      </c>
      <c r="F84" s="111">
        <v>20000</v>
      </c>
      <c r="G84" s="3">
        <v>1</v>
      </c>
      <c r="H84" s="16">
        <v>1</v>
      </c>
      <c r="I84" s="89">
        <f>E84*F84*G84*H84</f>
        <v>40000</v>
      </c>
      <c r="J84" s="89">
        <f t="shared" si="26"/>
        <v>740.74074074074076</v>
      </c>
    </row>
    <row r="85" spans="1:20" x14ac:dyDescent="0.3">
      <c r="A85" s="3"/>
      <c r="B85" s="3"/>
      <c r="C85" s="3" t="s">
        <v>89</v>
      </c>
      <c r="D85" s="3"/>
      <c r="E85" s="79">
        <v>2</v>
      </c>
      <c r="F85" s="111">
        <v>2500</v>
      </c>
      <c r="G85" s="3">
        <v>6</v>
      </c>
      <c r="H85" s="16">
        <v>1</v>
      </c>
      <c r="I85" s="89">
        <f>E85*F85*G85*H85</f>
        <v>30000</v>
      </c>
      <c r="J85" s="89">
        <f t="shared" si="26"/>
        <v>555.55555555555554</v>
      </c>
    </row>
    <row r="86" spans="1:20" x14ac:dyDescent="0.3">
      <c r="A86" s="3"/>
      <c r="B86" s="3"/>
      <c r="C86" s="3" t="s">
        <v>90</v>
      </c>
      <c r="D86" s="3"/>
      <c r="E86" s="79">
        <v>2</v>
      </c>
      <c r="F86" s="111">
        <v>10000</v>
      </c>
      <c r="G86" s="3">
        <v>6</v>
      </c>
      <c r="H86" s="16">
        <v>1</v>
      </c>
      <c r="I86" s="89">
        <f>E86*F86*G86*H86</f>
        <v>120000</v>
      </c>
      <c r="J86" s="89">
        <f t="shared" si="26"/>
        <v>2222.2222222222222</v>
      </c>
    </row>
    <row r="87" spans="1:20" x14ac:dyDescent="0.3">
      <c r="A87" s="3"/>
      <c r="B87" s="3"/>
      <c r="C87" s="3"/>
      <c r="D87" s="82" t="s">
        <v>10</v>
      </c>
      <c r="E87" s="82"/>
      <c r="F87" s="122"/>
      <c r="G87" s="82"/>
      <c r="H87" s="123"/>
      <c r="I87" s="81">
        <f>SUM(I82:I86)</f>
        <v>370000</v>
      </c>
      <c r="J87" s="81">
        <f>SUM(J82:J86)</f>
        <v>6851.8518518518522</v>
      </c>
    </row>
    <row r="88" spans="1:20" x14ac:dyDescent="0.3">
      <c r="A88" s="96"/>
      <c r="B88" s="96"/>
      <c r="C88" s="96"/>
      <c r="D88" s="96"/>
      <c r="E88" s="96"/>
      <c r="F88" s="124"/>
      <c r="G88" s="96"/>
      <c r="H88" s="125"/>
      <c r="I88" s="165"/>
      <c r="J88" s="165"/>
    </row>
    <row r="89" spans="1:20" x14ac:dyDescent="0.3">
      <c r="A89" s="769" t="s">
        <v>180</v>
      </c>
      <c r="B89" s="770"/>
      <c r="C89" s="770"/>
      <c r="D89" s="771"/>
      <c r="E89" s="127"/>
      <c r="F89" s="128"/>
      <c r="G89" s="127"/>
      <c r="H89" s="129"/>
      <c r="I89" s="166"/>
      <c r="J89" s="166"/>
    </row>
    <row r="90" spans="1:20" x14ac:dyDescent="0.3">
      <c r="A90" s="3"/>
      <c r="B90" s="3" t="s">
        <v>92</v>
      </c>
      <c r="C90" s="3" t="s">
        <v>93</v>
      </c>
      <c r="D90" s="3"/>
      <c r="E90" s="3">
        <v>40</v>
      </c>
      <c r="F90" s="111">
        <v>1000</v>
      </c>
      <c r="G90" s="3">
        <v>5</v>
      </c>
      <c r="H90" s="16">
        <v>1</v>
      </c>
      <c r="I90" s="89">
        <f t="shared" ref="I90:I97" si="27">E90*F90*G90*H90</f>
        <v>200000</v>
      </c>
      <c r="J90" s="89">
        <f>I90/54</f>
        <v>3703.7037037037039</v>
      </c>
    </row>
    <row r="91" spans="1:20" x14ac:dyDescent="0.3">
      <c r="A91" s="3"/>
      <c r="B91" s="3" t="s">
        <v>86</v>
      </c>
      <c r="C91" s="3" t="s">
        <v>94</v>
      </c>
      <c r="D91" s="3" t="s">
        <v>110</v>
      </c>
      <c r="E91" s="3">
        <v>30</v>
      </c>
      <c r="F91" s="111">
        <v>5000</v>
      </c>
      <c r="G91" s="3">
        <v>1</v>
      </c>
      <c r="H91" s="16">
        <v>1</v>
      </c>
      <c r="I91" s="89">
        <f t="shared" si="27"/>
        <v>150000</v>
      </c>
      <c r="J91" s="89">
        <f t="shared" ref="J91:J98" si="28">I91/54</f>
        <v>2777.7777777777778</v>
      </c>
    </row>
    <row r="92" spans="1:20" x14ac:dyDescent="0.3">
      <c r="A92" s="3"/>
      <c r="B92" s="3" t="s">
        <v>95</v>
      </c>
      <c r="C92" s="3" t="s">
        <v>96</v>
      </c>
      <c r="D92" s="3" t="s">
        <v>110</v>
      </c>
      <c r="E92" s="3">
        <v>30</v>
      </c>
      <c r="F92" s="111">
        <v>10000</v>
      </c>
      <c r="G92" s="3">
        <v>5</v>
      </c>
      <c r="H92" s="16">
        <v>1</v>
      </c>
      <c r="I92" s="89">
        <f t="shared" si="27"/>
        <v>1500000</v>
      </c>
      <c r="J92" s="89">
        <f t="shared" si="28"/>
        <v>27777.777777777777</v>
      </c>
    </row>
    <row r="93" spans="1:20" x14ac:dyDescent="0.3">
      <c r="A93" s="3"/>
      <c r="B93" s="3" t="s">
        <v>97</v>
      </c>
      <c r="C93" s="3" t="s">
        <v>171</v>
      </c>
      <c r="D93" s="3" t="s">
        <v>110</v>
      </c>
      <c r="E93" s="3">
        <v>40</v>
      </c>
      <c r="F93" s="111">
        <v>1500</v>
      </c>
      <c r="G93" s="3">
        <v>5</v>
      </c>
      <c r="H93" s="16">
        <v>1</v>
      </c>
      <c r="I93" s="89">
        <f t="shared" si="27"/>
        <v>300000</v>
      </c>
      <c r="J93" s="89">
        <f t="shared" si="28"/>
        <v>5555.5555555555557</v>
      </c>
    </row>
    <row r="94" spans="1:20" x14ac:dyDescent="0.3">
      <c r="A94" s="3"/>
      <c r="B94" s="3" t="s">
        <v>99</v>
      </c>
      <c r="C94" s="3" t="s">
        <v>100</v>
      </c>
      <c r="D94" s="3" t="s">
        <v>112</v>
      </c>
      <c r="E94" s="3">
        <v>1</v>
      </c>
      <c r="F94" s="111">
        <v>10000</v>
      </c>
      <c r="G94" s="3">
        <v>5</v>
      </c>
      <c r="H94" s="16">
        <v>1</v>
      </c>
      <c r="I94" s="89">
        <f t="shared" si="27"/>
        <v>50000</v>
      </c>
      <c r="J94" s="89">
        <f t="shared" si="28"/>
        <v>925.92592592592598</v>
      </c>
    </row>
    <row r="95" spans="1:20" x14ac:dyDescent="0.3">
      <c r="A95" s="3"/>
      <c r="B95" s="3" t="s">
        <v>101</v>
      </c>
      <c r="C95" s="3" t="s">
        <v>102</v>
      </c>
      <c r="D95" s="3"/>
      <c r="E95" s="3">
        <v>1</v>
      </c>
      <c r="F95" s="111">
        <v>25000</v>
      </c>
      <c r="G95" s="3">
        <v>5</v>
      </c>
      <c r="H95" s="16">
        <v>1</v>
      </c>
      <c r="I95" s="89">
        <f t="shared" si="27"/>
        <v>125000</v>
      </c>
      <c r="J95" s="89">
        <f t="shared" si="28"/>
        <v>2314.8148148148148</v>
      </c>
    </row>
    <row r="96" spans="1:20" x14ac:dyDescent="0.3">
      <c r="A96" s="3"/>
      <c r="B96" s="3" t="s">
        <v>103</v>
      </c>
      <c r="C96" s="3" t="s">
        <v>104</v>
      </c>
      <c r="D96" s="3" t="s">
        <v>105</v>
      </c>
      <c r="E96" s="3">
        <v>1</v>
      </c>
      <c r="F96" s="111">
        <v>25000</v>
      </c>
      <c r="G96" s="3">
        <v>5</v>
      </c>
      <c r="H96" s="16">
        <v>1</v>
      </c>
      <c r="I96" s="89">
        <f t="shared" si="27"/>
        <v>125000</v>
      </c>
      <c r="J96" s="89">
        <f t="shared" si="28"/>
        <v>2314.8148148148148</v>
      </c>
    </row>
    <row r="97" spans="1:11" x14ac:dyDescent="0.3">
      <c r="A97" s="3"/>
      <c r="B97" s="3" t="s">
        <v>106</v>
      </c>
      <c r="C97" s="3" t="s">
        <v>107</v>
      </c>
      <c r="D97" s="3"/>
      <c r="E97" s="3">
        <v>40</v>
      </c>
      <c r="F97" s="111">
        <v>400</v>
      </c>
      <c r="G97" s="3">
        <v>5</v>
      </c>
      <c r="H97" s="16">
        <v>1</v>
      </c>
      <c r="I97" s="89">
        <f t="shared" si="27"/>
        <v>80000</v>
      </c>
      <c r="J97" s="89">
        <f t="shared" si="28"/>
        <v>1481.4814814814815</v>
      </c>
    </row>
    <row r="98" spans="1:11" x14ac:dyDescent="0.3">
      <c r="A98" s="3"/>
      <c r="B98" s="3"/>
      <c r="C98" s="3"/>
      <c r="D98" s="82" t="s">
        <v>10</v>
      </c>
      <c r="E98" s="82"/>
      <c r="F98" s="122"/>
      <c r="G98" s="82"/>
      <c r="H98" s="123"/>
      <c r="I98" s="81">
        <f>SUM(I90:I97)</f>
        <v>2530000</v>
      </c>
      <c r="J98" s="81">
        <f t="shared" si="28"/>
        <v>46851.851851851854</v>
      </c>
    </row>
    <row r="99" spans="1:11" x14ac:dyDescent="0.3">
      <c r="A99" s="3"/>
      <c r="B99" s="3"/>
      <c r="C99" s="3"/>
      <c r="D99" s="3"/>
      <c r="E99" s="3"/>
      <c r="F99" s="3"/>
      <c r="G99" s="3"/>
      <c r="H99" s="16"/>
      <c r="I99" s="89"/>
      <c r="J99" s="89"/>
    </row>
    <row r="100" spans="1:11" x14ac:dyDescent="0.3">
      <c r="A100" s="3"/>
      <c r="B100" s="3"/>
      <c r="C100" s="3"/>
      <c r="D100" s="83" t="s">
        <v>203</v>
      </c>
      <c r="E100" s="83"/>
      <c r="F100" s="83"/>
      <c r="G100" s="83"/>
      <c r="H100" s="132">
        <f>I87+I98</f>
        <v>2900000</v>
      </c>
      <c r="I100" s="167">
        <f>SUM(I98+I87)</f>
        <v>2900000</v>
      </c>
      <c r="J100" s="646">
        <f>I100/40</f>
        <v>72500</v>
      </c>
    </row>
    <row r="101" spans="1:11" x14ac:dyDescent="0.3">
      <c r="A101" s="3"/>
      <c r="B101" s="3" t="s">
        <v>92</v>
      </c>
      <c r="C101" s="3" t="s">
        <v>204</v>
      </c>
      <c r="D101" s="3" t="s">
        <v>110</v>
      </c>
      <c r="E101" s="3">
        <v>1</v>
      </c>
      <c r="F101" s="111">
        <v>4000</v>
      </c>
      <c r="G101" s="3">
        <v>5</v>
      </c>
      <c r="H101" s="16">
        <v>1</v>
      </c>
      <c r="I101" s="89">
        <f>E101*F101*G101*H101</f>
        <v>20000</v>
      </c>
      <c r="J101" s="89">
        <f>I101/54</f>
        <v>370.37037037037038</v>
      </c>
    </row>
    <row r="102" spans="1:11" x14ac:dyDescent="0.3">
      <c r="A102" s="3"/>
      <c r="B102" s="3" t="s">
        <v>86</v>
      </c>
      <c r="C102" s="3" t="s">
        <v>205</v>
      </c>
      <c r="D102" s="3" t="s">
        <v>110</v>
      </c>
      <c r="E102" s="3">
        <v>2</v>
      </c>
      <c r="F102" s="111">
        <v>10000</v>
      </c>
      <c r="G102" s="3">
        <v>5</v>
      </c>
      <c r="H102" s="16">
        <v>1</v>
      </c>
      <c r="I102" s="89">
        <f t="shared" ref="I102:I103" si="29">E102*F102*G102*H102</f>
        <v>100000</v>
      </c>
      <c r="J102" s="89">
        <f t="shared" ref="J102:J105" si="30">I102/54</f>
        <v>1851.851851851852</v>
      </c>
    </row>
    <row r="103" spans="1:11" x14ac:dyDescent="0.3">
      <c r="A103" s="3"/>
      <c r="B103" s="3" t="s">
        <v>97</v>
      </c>
      <c r="C103" s="3" t="s">
        <v>107</v>
      </c>
      <c r="D103" s="3"/>
      <c r="E103" s="3">
        <v>2</v>
      </c>
      <c r="F103" s="111">
        <v>500</v>
      </c>
      <c r="G103" s="3">
        <v>2</v>
      </c>
      <c r="H103" s="16">
        <v>1</v>
      </c>
      <c r="I103" s="89">
        <f t="shared" si="29"/>
        <v>2000</v>
      </c>
      <c r="J103" s="89">
        <f t="shared" si="30"/>
        <v>37.037037037037038</v>
      </c>
    </row>
    <row r="104" spans="1:11" x14ac:dyDescent="0.3">
      <c r="A104" s="3"/>
      <c r="B104" s="3"/>
      <c r="C104" s="3"/>
      <c r="D104" s="82" t="s">
        <v>10</v>
      </c>
      <c r="E104" s="82"/>
      <c r="F104" s="122"/>
      <c r="G104" s="82"/>
      <c r="H104" s="123"/>
      <c r="I104" s="89">
        <f>SUM(I101:I103)</f>
        <v>122000</v>
      </c>
      <c r="J104" s="89">
        <f t="shared" si="30"/>
        <v>2259.2592592592591</v>
      </c>
    </row>
    <row r="105" spans="1:11" x14ac:dyDescent="0.3">
      <c r="A105" s="3"/>
      <c r="B105" s="3"/>
      <c r="C105" s="3"/>
      <c r="D105" s="18" t="s">
        <v>206</v>
      </c>
      <c r="E105" s="18"/>
      <c r="F105" s="18"/>
      <c r="G105" s="18"/>
      <c r="H105" s="168" t="s">
        <v>207</v>
      </c>
      <c r="I105" s="164">
        <f>SUM(12*I104)</f>
        <v>1464000</v>
      </c>
      <c r="J105" s="164">
        <f t="shared" si="30"/>
        <v>27111.111111111109</v>
      </c>
    </row>
    <row r="106" spans="1:11" x14ac:dyDescent="0.3">
      <c r="A106" s="3"/>
      <c r="B106" s="3"/>
      <c r="C106" s="3"/>
      <c r="D106" s="3"/>
      <c r="E106" s="3"/>
      <c r="F106" s="3"/>
      <c r="G106" s="3"/>
      <c r="H106" s="16"/>
      <c r="I106" s="89"/>
      <c r="J106" s="89"/>
    </row>
    <row r="107" spans="1:11" x14ac:dyDescent="0.3">
      <c r="A107" s="20"/>
      <c r="B107" s="20"/>
      <c r="C107" s="20"/>
      <c r="D107" s="6" t="s">
        <v>208</v>
      </c>
      <c r="E107" s="6"/>
      <c r="F107" s="6"/>
      <c r="G107" s="6" t="s">
        <v>9</v>
      </c>
      <c r="H107" s="169"/>
      <c r="I107" s="77">
        <f>SUM(I105+I100)</f>
        <v>4364000</v>
      </c>
      <c r="J107" s="77">
        <f>SUM(I107/54)</f>
        <v>80814.814814814818</v>
      </c>
      <c r="K107" s="1">
        <f>I107/40</f>
        <v>109100</v>
      </c>
    </row>
    <row r="109" spans="1:11" x14ac:dyDescent="0.3">
      <c r="A109" s="772" t="str">
        <f>C48</f>
        <v>State level annual review meetings - 18 events (2 Review over 3 years period</v>
      </c>
      <c r="B109" s="773"/>
      <c r="C109" s="773"/>
      <c r="D109" s="773"/>
      <c r="E109" s="773"/>
      <c r="F109" s="773"/>
      <c r="G109" s="773"/>
      <c r="H109" s="773"/>
      <c r="I109" s="773"/>
      <c r="J109" s="773"/>
    </row>
    <row r="110" spans="1:11" x14ac:dyDescent="0.3">
      <c r="A110" s="26"/>
      <c r="B110" s="26"/>
      <c r="C110" s="26" t="s">
        <v>4</v>
      </c>
      <c r="D110" s="26" t="s">
        <v>79</v>
      </c>
      <c r="E110" s="26" t="s">
        <v>80</v>
      </c>
      <c r="F110" s="26" t="s">
        <v>50</v>
      </c>
      <c r="G110" s="26" t="s">
        <v>57</v>
      </c>
      <c r="H110" s="27" t="s">
        <v>53</v>
      </c>
      <c r="I110" s="28" t="s">
        <v>65</v>
      </c>
      <c r="J110" s="28" t="s">
        <v>81</v>
      </c>
    </row>
    <row r="111" spans="1:11" x14ac:dyDescent="0.3">
      <c r="A111" s="774" t="s">
        <v>169</v>
      </c>
      <c r="B111" s="775"/>
      <c r="C111" s="775"/>
      <c r="D111" s="776"/>
      <c r="E111" s="107"/>
      <c r="F111" s="107"/>
      <c r="G111" s="107"/>
      <c r="H111" s="108"/>
      <c r="I111" s="107"/>
      <c r="J111" s="107"/>
    </row>
    <row r="112" spans="1:11" x14ac:dyDescent="0.3">
      <c r="A112" s="3">
        <v>1</v>
      </c>
      <c r="B112" s="3" t="s">
        <v>170</v>
      </c>
      <c r="C112" s="3"/>
      <c r="D112" s="3"/>
      <c r="E112" s="3"/>
      <c r="F112" s="3"/>
      <c r="G112" s="3"/>
      <c r="H112" s="16"/>
      <c r="I112" s="3"/>
      <c r="J112" s="3"/>
    </row>
    <row r="113" spans="1:10" x14ac:dyDescent="0.3">
      <c r="A113" s="3"/>
      <c r="B113" s="3" t="s">
        <v>84</v>
      </c>
      <c r="C113" s="3"/>
      <c r="D113" s="3" t="s">
        <v>85</v>
      </c>
      <c r="E113" s="3">
        <v>5</v>
      </c>
      <c r="F113" s="111">
        <v>15000</v>
      </c>
      <c r="G113" s="3">
        <v>6</v>
      </c>
      <c r="H113" s="16">
        <v>1</v>
      </c>
      <c r="I113" s="24">
        <f>E113*F113*G113*H113</f>
        <v>450000</v>
      </c>
      <c r="J113" s="112">
        <f>I113/54</f>
        <v>8333.3333333333339</v>
      </c>
    </row>
    <row r="114" spans="1:10" x14ac:dyDescent="0.3">
      <c r="A114" s="3"/>
      <c r="B114" s="3" t="s">
        <v>86</v>
      </c>
      <c r="C114" s="3" t="s">
        <v>87</v>
      </c>
      <c r="D114" s="3"/>
      <c r="E114" s="3"/>
      <c r="F114" s="111"/>
      <c r="G114" s="3"/>
      <c r="H114" s="16"/>
      <c r="I114" s="3"/>
      <c r="J114" s="112">
        <f t="shared" ref="J114:J118" si="31">I114/54</f>
        <v>0</v>
      </c>
    </row>
    <row r="115" spans="1:10" x14ac:dyDescent="0.3">
      <c r="A115" s="3"/>
      <c r="B115" s="3"/>
      <c r="C115" s="3" t="s">
        <v>88</v>
      </c>
      <c r="D115" s="3"/>
      <c r="E115" s="79">
        <v>5</v>
      </c>
      <c r="F115" s="111">
        <v>20000</v>
      </c>
      <c r="G115" s="3">
        <v>1</v>
      </c>
      <c r="H115" s="16">
        <v>1</v>
      </c>
      <c r="I115" s="24">
        <f>E115*F115*G115*H115</f>
        <v>100000</v>
      </c>
      <c r="J115" s="112">
        <f t="shared" si="31"/>
        <v>1851.851851851852</v>
      </c>
    </row>
    <row r="116" spans="1:10" x14ac:dyDescent="0.3">
      <c r="A116" s="3"/>
      <c r="B116" s="3"/>
      <c r="C116" s="3" t="s">
        <v>89</v>
      </c>
      <c r="D116" s="3"/>
      <c r="E116" s="79">
        <v>5</v>
      </c>
      <c r="F116" s="111">
        <v>2500</v>
      </c>
      <c r="G116" s="3">
        <v>6</v>
      </c>
      <c r="H116" s="16">
        <v>1</v>
      </c>
      <c r="I116" s="24">
        <f>E116*F116*G116*H116</f>
        <v>75000</v>
      </c>
      <c r="J116" s="112">
        <f t="shared" si="31"/>
        <v>1388.8888888888889</v>
      </c>
    </row>
    <row r="117" spans="1:10" x14ac:dyDescent="0.3">
      <c r="A117" s="3"/>
      <c r="B117" s="3"/>
      <c r="C117" s="3" t="s">
        <v>90</v>
      </c>
      <c r="D117" s="3"/>
      <c r="E117" s="79">
        <v>5</v>
      </c>
      <c r="F117" s="111">
        <v>10000</v>
      </c>
      <c r="G117" s="3">
        <v>6</v>
      </c>
      <c r="H117" s="16">
        <v>1</v>
      </c>
      <c r="I117" s="24">
        <f>E117*F117*G117*H117</f>
        <v>300000</v>
      </c>
      <c r="J117" s="112">
        <f t="shared" si="31"/>
        <v>5555.5555555555557</v>
      </c>
    </row>
    <row r="118" spans="1:10" x14ac:dyDescent="0.3">
      <c r="A118" s="3"/>
      <c r="B118" s="3"/>
      <c r="C118" s="3"/>
      <c r="D118" s="82" t="s">
        <v>10</v>
      </c>
      <c r="E118" s="82"/>
      <c r="F118" s="122"/>
      <c r="G118" s="82"/>
      <c r="H118" s="123"/>
      <c r="I118" s="121">
        <f>SUM(I113:I117)</f>
        <v>925000</v>
      </c>
      <c r="J118" s="121">
        <f t="shared" si="31"/>
        <v>17129.629629629631</v>
      </c>
    </row>
    <row r="119" spans="1:10" x14ac:dyDescent="0.3">
      <c r="A119" s="96"/>
      <c r="B119" s="96"/>
      <c r="C119" s="96"/>
      <c r="D119" s="96"/>
      <c r="E119" s="96"/>
      <c r="F119" s="124"/>
      <c r="G119" s="96"/>
      <c r="H119" s="125"/>
      <c r="I119" s="126"/>
      <c r="J119" s="96"/>
    </row>
    <row r="120" spans="1:10" x14ac:dyDescent="0.3">
      <c r="A120" s="769" t="s">
        <v>91</v>
      </c>
      <c r="B120" s="770"/>
      <c r="C120" s="770"/>
      <c r="D120" s="771"/>
      <c r="E120" s="127"/>
      <c r="F120" s="128"/>
      <c r="G120" s="127"/>
      <c r="H120" s="129"/>
      <c r="I120" s="127"/>
      <c r="J120" s="127"/>
    </row>
    <row r="121" spans="1:10" x14ac:dyDescent="0.3">
      <c r="A121" s="3"/>
      <c r="B121" s="3" t="s">
        <v>92</v>
      </c>
      <c r="C121" s="3" t="s">
        <v>93</v>
      </c>
      <c r="D121" s="3"/>
      <c r="E121" s="3">
        <v>40</v>
      </c>
      <c r="F121" s="111">
        <v>2000</v>
      </c>
      <c r="G121" s="3">
        <v>5</v>
      </c>
      <c r="H121" s="16">
        <v>1</v>
      </c>
      <c r="I121" s="24">
        <f t="shared" ref="I121:I128" si="32">E121*F121*G121*H121</f>
        <v>400000</v>
      </c>
      <c r="J121" s="24">
        <f>I121/54</f>
        <v>7407.4074074074078</v>
      </c>
    </row>
    <row r="122" spans="1:10" x14ac:dyDescent="0.3">
      <c r="A122" s="3"/>
      <c r="B122" s="3" t="s">
        <v>86</v>
      </c>
      <c r="C122" s="3" t="s">
        <v>94</v>
      </c>
      <c r="D122" s="3"/>
      <c r="E122" s="3">
        <v>30</v>
      </c>
      <c r="F122" s="111">
        <v>20000</v>
      </c>
      <c r="G122" s="3">
        <v>1</v>
      </c>
      <c r="H122" s="16">
        <v>1</v>
      </c>
      <c r="I122" s="24">
        <f t="shared" si="32"/>
        <v>600000</v>
      </c>
      <c r="J122" s="24">
        <f t="shared" ref="J122:J128" si="33">I122/54</f>
        <v>11111.111111111111</v>
      </c>
    </row>
    <row r="123" spans="1:10" x14ac:dyDescent="0.3">
      <c r="A123" s="3"/>
      <c r="B123" s="3" t="s">
        <v>95</v>
      </c>
      <c r="C123" s="3" t="s">
        <v>96</v>
      </c>
      <c r="D123" s="3"/>
      <c r="E123" s="3">
        <v>30</v>
      </c>
      <c r="F123" s="111">
        <v>10000</v>
      </c>
      <c r="G123" s="3">
        <v>5</v>
      </c>
      <c r="H123" s="16">
        <v>1</v>
      </c>
      <c r="I123" s="24">
        <f t="shared" si="32"/>
        <v>1500000</v>
      </c>
      <c r="J123" s="24">
        <f t="shared" si="33"/>
        <v>27777.777777777777</v>
      </c>
    </row>
    <row r="124" spans="1:10" x14ac:dyDescent="0.3">
      <c r="A124" s="3"/>
      <c r="B124" s="3" t="s">
        <v>97</v>
      </c>
      <c r="C124" s="3" t="s">
        <v>171</v>
      </c>
      <c r="D124" s="3" t="s">
        <v>172</v>
      </c>
      <c r="E124" s="3">
        <v>40</v>
      </c>
      <c r="F124" s="111">
        <v>2500</v>
      </c>
      <c r="G124" s="3">
        <v>5</v>
      </c>
      <c r="H124" s="16">
        <v>1</v>
      </c>
      <c r="I124" s="24">
        <f t="shared" si="32"/>
        <v>500000</v>
      </c>
      <c r="J124" s="24">
        <f t="shared" si="33"/>
        <v>9259.2592592592591</v>
      </c>
    </row>
    <row r="125" spans="1:10" x14ac:dyDescent="0.3">
      <c r="A125" s="3"/>
      <c r="B125" s="3" t="s">
        <v>99</v>
      </c>
      <c r="C125" s="3" t="s">
        <v>100</v>
      </c>
      <c r="D125" s="3"/>
      <c r="E125" s="3">
        <v>1</v>
      </c>
      <c r="F125" s="111">
        <v>45000</v>
      </c>
      <c r="G125" s="3">
        <v>5</v>
      </c>
      <c r="H125" s="16">
        <v>1</v>
      </c>
      <c r="I125" s="24">
        <f t="shared" si="32"/>
        <v>225000</v>
      </c>
      <c r="J125" s="24">
        <f t="shared" si="33"/>
        <v>4166.666666666667</v>
      </c>
    </row>
    <row r="126" spans="1:10" x14ac:dyDescent="0.3">
      <c r="A126" s="3"/>
      <c r="B126" s="3" t="s">
        <v>101</v>
      </c>
      <c r="C126" s="3" t="s">
        <v>102</v>
      </c>
      <c r="D126" s="3"/>
      <c r="E126" s="3">
        <v>1</v>
      </c>
      <c r="F126" s="111">
        <v>25000</v>
      </c>
      <c r="G126" s="3">
        <v>5</v>
      </c>
      <c r="H126" s="16">
        <v>1</v>
      </c>
      <c r="I126" s="24">
        <f t="shared" si="32"/>
        <v>125000</v>
      </c>
      <c r="J126" s="24">
        <f t="shared" si="33"/>
        <v>2314.8148148148148</v>
      </c>
    </row>
    <row r="127" spans="1:10" x14ac:dyDescent="0.3">
      <c r="A127" s="3"/>
      <c r="B127" s="3" t="s">
        <v>103</v>
      </c>
      <c r="C127" s="3" t="s">
        <v>104</v>
      </c>
      <c r="D127" s="3" t="s">
        <v>105</v>
      </c>
      <c r="E127" s="3">
        <v>1</v>
      </c>
      <c r="F127" s="111">
        <v>25000</v>
      </c>
      <c r="G127" s="3">
        <v>5</v>
      </c>
      <c r="H127" s="16">
        <v>1</v>
      </c>
      <c r="I127" s="24">
        <f t="shared" si="32"/>
        <v>125000</v>
      </c>
      <c r="J127" s="24">
        <f t="shared" si="33"/>
        <v>2314.8148148148148</v>
      </c>
    </row>
    <row r="128" spans="1:10" x14ac:dyDescent="0.3">
      <c r="A128" s="3"/>
      <c r="B128" s="3" t="s">
        <v>106</v>
      </c>
      <c r="C128" s="3" t="s">
        <v>107</v>
      </c>
      <c r="D128" s="3"/>
      <c r="E128" s="3">
        <v>40</v>
      </c>
      <c r="F128" s="111">
        <v>500</v>
      </c>
      <c r="G128" s="3">
        <v>5</v>
      </c>
      <c r="H128" s="16">
        <v>1</v>
      </c>
      <c r="I128" s="24">
        <f t="shared" si="32"/>
        <v>100000</v>
      </c>
      <c r="J128" s="24">
        <f t="shared" si="33"/>
        <v>1851.851851851852</v>
      </c>
    </row>
    <row r="129" spans="1:12" x14ac:dyDescent="0.3">
      <c r="A129" s="3"/>
      <c r="B129" s="3"/>
      <c r="C129" s="3"/>
      <c r="D129" s="82" t="s">
        <v>10</v>
      </c>
      <c r="E129" s="82"/>
      <c r="F129" s="122"/>
      <c r="G129" s="82"/>
      <c r="H129" s="123"/>
      <c r="I129" s="121">
        <f>SUM(I121:I128)</f>
        <v>3575000</v>
      </c>
      <c r="J129" s="121">
        <f>SUM(J121:J128)</f>
        <v>66203.703703703693</v>
      </c>
    </row>
    <row r="130" spans="1:12" x14ac:dyDescent="0.3">
      <c r="A130" s="3"/>
      <c r="B130" s="3"/>
      <c r="C130" s="3"/>
      <c r="D130" s="3"/>
      <c r="E130" s="3"/>
      <c r="F130" s="3"/>
      <c r="G130" s="3"/>
      <c r="H130" s="16"/>
      <c r="I130" s="3"/>
      <c r="J130" s="3"/>
    </row>
    <row r="131" spans="1:12" x14ac:dyDescent="0.3">
      <c r="A131" s="3"/>
      <c r="B131" s="3"/>
      <c r="C131" s="3"/>
      <c r="D131" s="83" t="s">
        <v>209</v>
      </c>
      <c r="E131" s="83"/>
      <c r="F131" s="83"/>
      <c r="G131" s="83"/>
      <c r="H131" s="131"/>
      <c r="I131" s="132">
        <f>I118+I129</f>
        <v>4500000</v>
      </c>
      <c r="J131" s="132">
        <f>J118+J129</f>
        <v>83333.333333333328</v>
      </c>
    </row>
    <row r="132" spans="1:12" x14ac:dyDescent="0.3">
      <c r="A132" s="170" t="s">
        <v>210</v>
      </c>
      <c r="B132" s="171"/>
      <c r="C132" s="171"/>
      <c r="D132" s="172"/>
      <c r="E132" s="26" t="s">
        <v>211</v>
      </c>
      <c r="F132" s="26" t="s">
        <v>50</v>
      </c>
      <c r="G132" s="26" t="s">
        <v>57</v>
      </c>
      <c r="H132" s="28" t="s">
        <v>212</v>
      </c>
      <c r="I132" s="28" t="s">
        <v>65</v>
      </c>
      <c r="J132" s="28" t="s">
        <v>81</v>
      </c>
    </row>
    <row r="133" spans="1:12" x14ac:dyDescent="0.3">
      <c r="A133" s="3"/>
      <c r="B133" s="3" t="s">
        <v>92</v>
      </c>
      <c r="C133" s="3" t="s">
        <v>213</v>
      </c>
      <c r="D133" s="3" t="s">
        <v>110</v>
      </c>
      <c r="E133" s="3">
        <v>2</v>
      </c>
      <c r="F133" s="111">
        <v>20000</v>
      </c>
      <c r="G133" s="3">
        <v>1</v>
      </c>
      <c r="H133" s="16">
        <v>1</v>
      </c>
      <c r="I133" s="24">
        <f>SUM(H133*G133*F133*E133)</f>
        <v>40000</v>
      </c>
      <c r="J133" s="89">
        <f>SUM(I133/54)</f>
        <v>740.74074074074076</v>
      </c>
    </row>
    <row r="134" spans="1:12" x14ac:dyDescent="0.3">
      <c r="A134" s="3"/>
      <c r="B134" s="3" t="s">
        <v>86</v>
      </c>
      <c r="C134" s="3" t="s">
        <v>96</v>
      </c>
      <c r="D134" s="3" t="s">
        <v>110</v>
      </c>
      <c r="E134" s="3">
        <v>2</v>
      </c>
      <c r="F134" s="111">
        <v>10000</v>
      </c>
      <c r="G134" s="3">
        <v>5</v>
      </c>
      <c r="H134" s="16">
        <v>1</v>
      </c>
      <c r="I134" s="24">
        <f t="shared" ref="I134:I136" si="34">SUM(H134*G134*F134*E134)</f>
        <v>100000</v>
      </c>
      <c r="J134" s="89">
        <f t="shared" ref="J134:J137" si="35">SUM(I134/54)</f>
        <v>1851.851851851852</v>
      </c>
    </row>
    <row r="135" spans="1:12" x14ac:dyDescent="0.3">
      <c r="A135" s="3"/>
      <c r="B135" s="3" t="s">
        <v>95</v>
      </c>
      <c r="C135" s="3" t="s">
        <v>214</v>
      </c>
      <c r="D135" s="3"/>
      <c r="E135" s="3">
        <v>1</v>
      </c>
      <c r="F135" s="111">
        <v>4000</v>
      </c>
      <c r="G135" s="3">
        <v>5</v>
      </c>
      <c r="H135" s="16">
        <v>1</v>
      </c>
      <c r="I135" s="24">
        <f t="shared" si="34"/>
        <v>20000</v>
      </c>
      <c r="J135" s="89">
        <f t="shared" si="35"/>
        <v>370.37037037037038</v>
      </c>
    </row>
    <row r="136" spans="1:12" x14ac:dyDescent="0.3">
      <c r="A136" s="3"/>
      <c r="B136" s="3" t="s">
        <v>97</v>
      </c>
      <c r="C136" s="3" t="s">
        <v>107</v>
      </c>
      <c r="D136" s="3"/>
      <c r="E136" s="3">
        <v>2</v>
      </c>
      <c r="F136" s="111">
        <v>500</v>
      </c>
      <c r="G136" s="3">
        <v>5</v>
      </c>
      <c r="H136" s="16">
        <v>1</v>
      </c>
      <c r="I136" s="24">
        <f t="shared" si="34"/>
        <v>5000</v>
      </c>
      <c r="J136" s="89">
        <f t="shared" si="35"/>
        <v>92.592592592592595</v>
      </c>
    </row>
    <row r="137" spans="1:12" x14ac:dyDescent="0.3">
      <c r="A137" s="3"/>
      <c r="B137" s="3"/>
      <c r="C137" s="3"/>
      <c r="D137" s="82" t="s">
        <v>10</v>
      </c>
      <c r="E137" s="82"/>
      <c r="F137" s="122"/>
      <c r="G137" s="82"/>
      <c r="H137" s="123"/>
      <c r="I137" s="121">
        <f>SUM(I133:I136)</f>
        <v>165000</v>
      </c>
      <c r="J137" s="81">
        <f t="shared" si="35"/>
        <v>3055.5555555555557</v>
      </c>
    </row>
    <row r="138" spans="1:12" x14ac:dyDescent="0.3">
      <c r="A138" s="3"/>
      <c r="B138" s="3"/>
      <c r="C138" s="3"/>
      <c r="D138" s="18" t="s">
        <v>215</v>
      </c>
      <c r="E138" s="18"/>
      <c r="F138" s="18"/>
      <c r="G138" s="18"/>
      <c r="H138" s="168" t="s">
        <v>216</v>
      </c>
      <c r="I138" s="19">
        <f>SUM(I137*25)</f>
        <v>4125000</v>
      </c>
      <c r="J138" s="164">
        <f t="shared" ref="J138" si="36">I138/54</f>
        <v>76388.888888888891</v>
      </c>
    </row>
    <row r="139" spans="1:12" x14ac:dyDescent="0.3">
      <c r="A139" s="4"/>
      <c r="B139" s="4"/>
      <c r="C139" s="4"/>
      <c r="D139" s="173"/>
      <c r="E139" s="173"/>
      <c r="F139" s="173"/>
      <c r="G139" s="173"/>
      <c r="H139" s="174"/>
      <c r="I139" s="175"/>
      <c r="J139" s="175"/>
    </row>
    <row r="140" spans="1:12" x14ac:dyDescent="0.3">
      <c r="A140" s="20"/>
      <c r="B140" s="20"/>
      <c r="C140" s="20"/>
      <c r="D140" s="6" t="s">
        <v>217</v>
      </c>
      <c r="E140" s="6"/>
      <c r="F140" s="6"/>
      <c r="G140" s="6"/>
      <c r="H140" s="169"/>
      <c r="I140" s="176">
        <f>SUM(I138+I131)</f>
        <v>8625000</v>
      </c>
      <c r="J140" s="176">
        <f>SUM(I140/54)</f>
        <v>159722.22222222222</v>
      </c>
      <c r="K140" s="134">
        <f>I140/40</f>
        <v>215625</v>
      </c>
      <c r="L140" s="33">
        <f>J140/40</f>
        <v>3993.0555555555557</v>
      </c>
    </row>
    <row r="142" spans="1:12" x14ac:dyDescent="0.3">
      <c r="A142" s="772" t="str">
        <f>C39</f>
        <v>Development of National improvement plan (IP)</v>
      </c>
      <c r="B142" s="773"/>
      <c r="C142" s="773"/>
      <c r="D142" s="773"/>
      <c r="E142" s="773"/>
      <c r="F142" s="773"/>
      <c r="G142" s="773"/>
      <c r="H142" s="773"/>
      <c r="I142" s="773"/>
      <c r="J142" s="773"/>
    </row>
    <row r="143" spans="1:12" x14ac:dyDescent="0.3">
      <c r="A143" s="26"/>
      <c r="B143" s="26"/>
      <c r="C143" s="26" t="s">
        <v>4</v>
      </c>
      <c r="D143" s="26" t="s">
        <v>79</v>
      </c>
      <c r="E143" s="26" t="s">
        <v>80</v>
      </c>
      <c r="F143" s="26" t="s">
        <v>50</v>
      </c>
      <c r="G143" s="26" t="s">
        <v>57</v>
      </c>
      <c r="H143" s="27" t="s">
        <v>53</v>
      </c>
      <c r="I143" s="28" t="s">
        <v>65</v>
      </c>
      <c r="J143" s="28" t="s">
        <v>81</v>
      </c>
    </row>
    <row r="144" spans="1:12" x14ac:dyDescent="0.3">
      <c r="A144" s="774" t="s">
        <v>169</v>
      </c>
      <c r="B144" s="775"/>
      <c r="C144" s="775"/>
      <c r="D144" s="776"/>
      <c r="E144" s="107"/>
      <c r="F144" s="107"/>
      <c r="G144" s="107"/>
      <c r="H144" s="108"/>
      <c r="I144" s="107"/>
      <c r="J144" s="107"/>
    </row>
    <row r="145" spans="1:10" x14ac:dyDescent="0.3">
      <c r="A145" s="3">
        <v>1</v>
      </c>
      <c r="B145" s="3" t="s">
        <v>170</v>
      </c>
      <c r="C145" s="3"/>
      <c r="D145" s="3"/>
      <c r="E145" s="3"/>
      <c r="F145" s="3"/>
      <c r="G145" s="3"/>
      <c r="H145" s="16"/>
      <c r="I145" s="3"/>
      <c r="J145" s="3"/>
    </row>
    <row r="146" spans="1:10" x14ac:dyDescent="0.3">
      <c r="A146" s="3"/>
      <c r="B146" s="3" t="s">
        <v>84</v>
      </c>
      <c r="C146" s="3"/>
      <c r="D146" s="3" t="s">
        <v>85</v>
      </c>
      <c r="E146" s="3">
        <v>3</v>
      </c>
      <c r="F146" s="111">
        <v>15000</v>
      </c>
      <c r="G146" s="3">
        <v>4</v>
      </c>
      <c r="H146" s="16">
        <v>1</v>
      </c>
      <c r="I146" s="24">
        <f>E146*F146*G146*H146</f>
        <v>180000</v>
      </c>
      <c r="J146" s="112">
        <f>I146/54</f>
        <v>3333.3333333333335</v>
      </c>
    </row>
    <row r="147" spans="1:10" x14ac:dyDescent="0.3">
      <c r="A147" s="3"/>
      <c r="B147" s="3" t="s">
        <v>86</v>
      </c>
      <c r="C147" s="3" t="s">
        <v>87</v>
      </c>
      <c r="D147" s="3"/>
      <c r="E147" s="3"/>
      <c r="F147" s="111"/>
      <c r="G147" s="3"/>
      <c r="H147" s="16"/>
      <c r="I147" s="3"/>
      <c r="J147" s="112">
        <f t="shared" ref="J147:J151" si="37">I147/54</f>
        <v>0</v>
      </c>
    </row>
    <row r="148" spans="1:10" x14ac:dyDescent="0.3">
      <c r="A148" s="3"/>
      <c r="B148" s="3"/>
      <c r="C148" s="3" t="s">
        <v>88</v>
      </c>
      <c r="D148" s="3"/>
      <c r="E148" s="79">
        <v>3</v>
      </c>
      <c r="F148" s="111">
        <v>20000</v>
      </c>
      <c r="G148" s="3">
        <v>1</v>
      </c>
      <c r="H148" s="16">
        <v>1</v>
      </c>
      <c r="I148" s="24">
        <f>E148*F148*G148*H148</f>
        <v>60000</v>
      </c>
      <c r="J148" s="112">
        <f t="shared" si="37"/>
        <v>1111.1111111111111</v>
      </c>
    </row>
    <row r="149" spans="1:10" x14ac:dyDescent="0.3">
      <c r="A149" s="3"/>
      <c r="B149" s="3"/>
      <c r="C149" s="3" t="s">
        <v>89</v>
      </c>
      <c r="D149" s="3"/>
      <c r="E149" s="79">
        <v>3</v>
      </c>
      <c r="F149" s="111">
        <v>2500</v>
      </c>
      <c r="G149" s="3">
        <v>4</v>
      </c>
      <c r="H149" s="16">
        <v>1</v>
      </c>
      <c r="I149" s="24">
        <f>E149*F149*G149*H149</f>
        <v>30000</v>
      </c>
      <c r="J149" s="112">
        <f t="shared" si="37"/>
        <v>555.55555555555554</v>
      </c>
    </row>
    <row r="150" spans="1:10" x14ac:dyDescent="0.3">
      <c r="A150" s="3"/>
      <c r="B150" s="3"/>
      <c r="C150" s="3" t="s">
        <v>90</v>
      </c>
      <c r="D150" s="3"/>
      <c r="E150" s="79">
        <v>3</v>
      </c>
      <c r="F150" s="111">
        <v>10000</v>
      </c>
      <c r="G150" s="3">
        <v>4</v>
      </c>
      <c r="H150" s="16">
        <v>1</v>
      </c>
      <c r="I150" s="24">
        <f>E150*F150*G150*H150</f>
        <v>120000</v>
      </c>
      <c r="J150" s="112">
        <f t="shared" si="37"/>
        <v>2222.2222222222222</v>
      </c>
    </row>
    <row r="151" spans="1:10" x14ac:dyDescent="0.3">
      <c r="A151" s="3"/>
      <c r="B151" s="3"/>
      <c r="C151" s="3"/>
      <c r="D151" s="82" t="s">
        <v>10</v>
      </c>
      <c r="E151" s="82"/>
      <c r="F151" s="122"/>
      <c r="G151" s="82"/>
      <c r="H151" s="123"/>
      <c r="I151" s="121">
        <f>SUM(I146:I150)</f>
        <v>390000</v>
      </c>
      <c r="J151" s="121">
        <f t="shared" si="37"/>
        <v>7222.2222222222226</v>
      </c>
    </row>
    <row r="152" spans="1:10" x14ac:dyDescent="0.3">
      <c r="A152" s="96"/>
      <c r="B152" s="96"/>
      <c r="C152" s="96"/>
      <c r="D152" s="96"/>
      <c r="E152" s="96"/>
      <c r="F152" s="124"/>
      <c r="G152" s="96"/>
      <c r="H152" s="125"/>
      <c r="I152" s="126"/>
      <c r="J152" s="96"/>
    </row>
    <row r="153" spans="1:10" x14ac:dyDescent="0.3">
      <c r="A153" s="769" t="s">
        <v>91</v>
      </c>
      <c r="B153" s="770"/>
      <c r="C153" s="770"/>
      <c r="D153" s="771"/>
      <c r="E153" s="127"/>
      <c r="F153" s="128"/>
      <c r="G153" s="127"/>
      <c r="H153" s="129"/>
      <c r="I153" s="127"/>
      <c r="J153" s="127"/>
    </row>
    <row r="154" spans="1:10" x14ac:dyDescent="0.3">
      <c r="A154" s="3"/>
      <c r="B154" s="3" t="s">
        <v>92</v>
      </c>
      <c r="C154" s="3" t="s">
        <v>93</v>
      </c>
      <c r="D154" s="3"/>
      <c r="E154" s="3">
        <v>40</v>
      </c>
      <c r="F154" s="111">
        <v>2000</v>
      </c>
      <c r="G154" s="3">
        <v>3</v>
      </c>
      <c r="H154" s="16">
        <v>1</v>
      </c>
      <c r="I154" s="24">
        <f t="shared" ref="I154:I161" si="38">E154*F154*G154*H154</f>
        <v>240000</v>
      </c>
      <c r="J154" s="24">
        <f>I154/54</f>
        <v>4444.4444444444443</v>
      </c>
    </row>
    <row r="155" spans="1:10" x14ac:dyDescent="0.3">
      <c r="A155" s="3"/>
      <c r="B155" s="3" t="s">
        <v>86</v>
      </c>
      <c r="C155" s="3" t="s">
        <v>94</v>
      </c>
      <c r="D155" s="3"/>
      <c r="E155" s="3">
        <v>30</v>
      </c>
      <c r="F155" s="111">
        <v>20000</v>
      </c>
      <c r="G155" s="3">
        <v>1</v>
      </c>
      <c r="H155" s="16">
        <v>1</v>
      </c>
      <c r="I155" s="24">
        <f t="shared" si="38"/>
        <v>600000</v>
      </c>
      <c r="J155" s="24">
        <f t="shared" ref="J155:J161" si="39">I155/54</f>
        <v>11111.111111111111</v>
      </c>
    </row>
    <row r="156" spans="1:10" x14ac:dyDescent="0.3">
      <c r="A156" s="3"/>
      <c r="B156" s="3" t="s">
        <v>95</v>
      </c>
      <c r="C156" s="3" t="s">
        <v>96</v>
      </c>
      <c r="D156" s="3"/>
      <c r="E156" s="3">
        <v>30</v>
      </c>
      <c r="F156" s="111">
        <v>10000</v>
      </c>
      <c r="G156" s="3">
        <v>3</v>
      </c>
      <c r="H156" s="16">
        <v>1</v>
      </c>
      <c r="I156" s="24">
        <f t="shared" si="38"/>
        <v>900000</v>
      </c>
      <c r="J156" s="24">
        <f t="shared" si="39"/>
        <v>16666.666666666668</v>
      </c>
    </row>
    <row r="157" spans="1:10" x14ac:dyDescent="0.3">
      <c r="A157" s="3"/>
      <c r="B157" s="3" t="s">
        <v>97</v>
      </c>
      <c r="C157" s="3" t="s">
        <v>171</v>
      </c>
      <c r="D157" s="3" t="s">
        <v>172</v>
      </c>
      <c r="E157" s="3">
        <v>40</v>
      </c>
      <c r="F157" s="111">
        <v>2500</v>
      </c>
      <c r="G157" s="3">
        <v>3</v>
      </c>
      <c r="H157" s="16">
        <v>1</v>
      </c>
      <c r="I157" s="24">
        <f t="shared" si="38"/>
        <v>300000</v>
      </c>
      <c r="J157" s="24">
        <f t="shared" si="39"/>
        <v>5555.5555555555557</v>
      </c>
    </row>
    <row r="158" spans="1:10" x14ac:dyDescent="0.3">
      <c r="A158" s="3"/>
      <c r="B158" s="3" t="s">
        <v>99</v>
      </c>
      <c r="C158" s="3" t="s">
        <v>100</v>
      </c>
      <c r="D158" s="3"/>
      <c r="E158" s="3">
        <v>1</v>
      </c>
      <c r="F158" s="111">
        <v>45000</v>
      </c>
      <c r="G158" s="3">
        <v>3</v>
      </c>
      <c r="H158" s="16">
        <v>1</v>
      </c>
      <c r="I158" s="24">
        <f t="shared" si="38"/>
        <v>135000</v>
      </c>
      <c r="J158" s="24">
        <f t="shared" si="39"/>
        <v>2500</v>
      </c>
    </row>
    <row r="159" spans="1:10" x14ac:dyDescent="0.3">
      <c r="A159" s="3"/>
      <c r="B159" s="3" t="s">
        <v>101</v>
      </c>
      <c r="C159" s="3" t="s">
        <v>102</v>
      </c>
      <c r="D159" s="3"/>
      <c r="E159" s="3">
        <v>1</v>
      </c>
      <c r="F159" s="111">
        <v>25000</v>
      </c>
      <c r="G159" s="3">
        <v>3</v>
      </c>
      <c r="H159" s="16">
        <v>1</v>
      </c>
      <c r="I159" s="24">
        <f t="shared" si="38"/>
        <v>75000</v>
      </c>
      <c r="J159" s="24">
        <f t="shared" si="39"/>
        <v>1388.8888888888889</v>
      </c>
    </row>
    <row r="160" spans="1:10" x14ac:dyDescent="0.3">
      <c r="A160" s="3"/>
      <c r="B160" s="3" t="s">
        <v>103</v>
      </c>
      <c r="C160" s="3" t="s">
        <v>104</v>
      </c>
      <c r="D160" s="3" t="s">
        <v>105</v>
      </c>
      <c r="E160" s="3">
        <v>1</v>
      </c>
      <c r="F160" s="111">
        <v>25000</v>
      </c>
      <c r="G160" s="3">
        <v>3</v>
      </c>
      <c r="H160" s="16">
        <v>1</v>
      </c>
      <c r="I160" s="24">
        <f t="shared" si="38"/>
        <v>75000</v>
      </c>
      <c r="J160" s="24">
        <f t="shared" si="39"/>
        <v>1388.8888888888889</v>
      </c>
    </row>
    <row r="161" spans="1:11" x14ac:dyDescent="0.3">
      <c r="A161" s="3"/>
      <c r="B161" s="3" t="s">
        <v>106</v>
      </c>
      <c r="C161" s="3" t="s">
        <v>107</v>
      </c>
      <c r="D161" s="3"/>
      <c r="E161" s="3">
        <v>40</v>
      </c>
      <c r="F161" s="111">
        <v>500</v>
      </c>
      <c r="G161" s="3">
        <v>3</v>
      </c>
      <c r="H161" s="16">
        <v>1</v>
      </c>
      <c r="I161" s="24">
        <f t="shared" si="38"/>
        <v>60000</v>
      </c>
      <c r="J161" s="24">
        <f t="shared" si="39"/>
        <v>1111.1111111111111</v>
      </c>
    </row>
    <row r="162" spans="1:11" x14ac:dyDescent="0.3">
      <c r="A162" s="3"/>
      <c r="B162" s="3"/>
      <c r="C162" s="3"/>
      <c r="D162" s="82" t="s">
        <v>10</v>
      </c>
      <c r="E162" s="82"/>
      <c r="F162" s="122"/>
      <c r="G162" s="82"/>
      <c r="H162" s="123"/>
      <c r="I162" s="121">
        <f>SUM(I154:I161)</f>
        <v>2385000</v>
      </c>
      <c r="J162" s="121">
        <f>SUM(J154:J161)</f>
        <v>44166.666666666672</v>
      </c>
    </row>
    <row r="163" spans="1:11" x14ac:dyDescent="0.3">
      <c r="A163" s="3"/>
      <c r="B163" s="3"/>
      <c r="C163" s="3"/>
      <c r="D163" s="3"/>
      <c r="E163" s="3"/>
      <c r="F163" s="3"/>
      <c r="G163" s="3"/>
      <c r="H163" s="16"/>
      <c r="I163" s="3"/>
      <c r="J163" s="3"/>
    </row>
    <row r="164" spans="1:11" x14ac:dyDescent="0.3">
      <c r="A164" s="3"/>
      <c r="B164" s="3"/>
      <c r="C164" s="3"/>
      <c r="D164" s="83" t="s">
        <v>19</v>
      </c>
      <c r="E164" s="83"/>
      <c r="F164" s="83"/>
      <c r="G164" s="83"/>
      <c r="H164" s="131"/>
      <c r="I164" s="132">
        <f>I151+I162</f>
        <v>2775000</v>
      </c>
      <c r="J164" s="132">
        <f>J151+J162</f>
        <v>51388.888888888891</v>
      </c>
      <c r="K164" s="1">
        <f>I164/40</f>
        <v>69375</v>
      </c>
    </row>
    <row r="166" spans="1:11" x14ac:dyDescent="0.3">
      <c r="A166" s="772" t="s">
        <v>218</v>
      </c>
      <c r="B166" s="773"/>
      <c r="C166" s="773"/>
      <c r="D166" s="773"/>
      <c r="E166" s="773"/>
      <c r="F166" s="773"/>
      <c r="G166" s="773"/>
      <c r="H166" s="773"/>
      <c r="I166" s="773"/>
      <c r="J166" s="773"/>
    </row>
    <row r="167" spans="1:11" x14ac:dyDescent="0.3">
      <c r="A167" s="26"/>
      <c r="B167" s="26"/>
      <c r="C167" s="26" t="s">
        <v>4</v>
      </c>
      <c r="D167" s="26" t="s">
        <v>79</v>
      </c>
      <c r="E167" s="26" t="s">
        <v>80</v>
      </c>
      <c r="F167" s="26" t="s">
        <v>50</v>
      </c>
      <c r="G167" s="26" t="s">
        <v>57</v>
      </c>
      <c r="H167" s="27" t="s">
        <v>53</v>
      </c>
      <c r="I167" s="28" t="s">
        <v>65</v>
      </c>
      <c r="J167" s="28" t="s">
        <v>81</v>
      </c>
    </row>
    <row r="168" spans="1:11" x14ac:dyDescent="0.3">
      <c r="A168" s="774"/>
      <c r="B168" s="775"/>
      <c r="C168" s="775"/>
      <c r="D168" s="776"/>
      <c r="E168" s="107"/>
      <c r="F168" s="107"/>
      <c r="G168" s="107"/>
      <c r="H168" s="108"/>
      <c r="I168" s="107"/>
      <c r="J168" s="107"/>
    </row>
    <row r="169" spans="1:11" x14ac:dyDescent="0.3">
      <c r="A169" s="3">
        <v>1</v>
      </c>
      <c r="B169" s="3" t="s">
        <v>108</v>
      </c>
      <c r="C169" s="3"/>
      <c r="D169" s="3"/>
      <c r="E169" s="3"/>
      <c r="F169" s="3"/>
      <c r="G169" s="3"/>
      <c r="H169" s="16"/>
      <c r="I169" s="3"/>
      <c r="J169" s="3"/>
    </row>
    <row r="170" spans="1:11" x14ac:dyDescent="0.3">
      <c r="A170" s="3"/>
      <c r="B170" s="3" t="s">
        <v>84</v>
      </c>
      <c r="C170" s="3"/>
      <c r="D170" s="3" t="s">
        <v>85</v>
      </c>
      <c r="E170" s="3">
        <v>2</v>
      </c>
      <c r="F170" s="111">
        <v>15000</v>
      </c>
      <c r="G170" s="3">
        <v>4</v>
      </c>
      <c r="H170" s="16">
        <v>1</v>
      </c>
      <c r="I170" s="24">
        <f>E170*F170*G170*H170</f>
        <v>120000</v>
      </c>
      <c r="J170" s="112">
        <f>I170/54</f>
        <v>2222.2222222222222</v>
      </c>
    </row>
    <row r="171" spans="1:11" x14ac:dyDescent="0.3">
      <c r="A171" s="3"/>
      <c r="B171" s="3" t="s">
        <v>86</v>
      </c>
      <c r="C171" s="3" t="s">
        <v>87</v>
      </c>
      <c r="D171" s="3"/>
      <c r="E171" s="3"/>
      <c r="F171" s="111"/>
      <c r="G171" s="3"/>
      <c r="H171" s="16"/>
      <c r="I171" s="3"/>
      <c r="J171" s="112">
        <f t="shared" ref="J171:J174" si="40">I171/54</f>
        <v>0</v>
      </c>
    </row>
    <row r="172" spans="1:11" x14ac:dyDescent="0.3">
      <c r="A172" s="3"/>
      <c r="B172" s="3"/>
      <c r="C172" s="3" t="s">
        <v>88</v>
      </c>
      <c r="D172" s="3"/>
      <c r="E172" s="79">
        <v>2</v>
      </c>
      <c r="F172" s="111">
        <v>20000</v>
      </c>
      <c r="G172" s="3">
        <v>1</v>
      </c>
      <c r="H172" s="16">
        <v>1</v>
      </c>
      <c r="I172" s="24">
        <f>E172*F172*G172*H172</f>
        <v>40000</v>
      </c>
      <c r="J172" s="112">
        <f t="shared" si="40"/>
        <v>740.74074074074076</v>
      </c>
    </row>
    <row r="173" spans="1:11" x14ac:dyDescent="0.3">
      <c r="A173" s="3"/>
      <c r="B173" s="3"/>
      <c r="C173" s="3" t="s">
        <v>89</v>
      </c>
      <c r="D173" s="3"/>
      <c r="E173" s="79">
        <v>2</v>
      </c>
      <c r="F173" s="111">
        <v>2500</v>
      </c>
      <c r="G173" s="3">
        <v>4</v>
      </c>
      <c r="H173" s="16">
        <v>1</v>
      </c>
      <c r="I173" s="24">
        <f>E173*F173*G173*H173</f>
        <v>20000</v>
      </c>
      <c r="J173" s="112">
        <f t="shared" si="40"/>
        <v>370.37037037037038</v>
      </c>
    </row>
    <row r="174" spans="1:11" x14ac:dyDescent="0.3">
      <c r="A174" s="3"/>
      <c r="B174" s="3"/>
      <c r="C174" s="3" t="s">
        <v>90</v>
      </c>
      <c r="D174" s="3"/>
      <c r="E174" s="79">
        <v>2</v>
      </c>
      <c r="F174" s="111">
        <v>10000</v>
      </c>
      <c r="G174" s="3">
        <v>4</v>
      </c>
      <c r="H174" s="16">
        <v>1</v>
      </c>
      <c r="I174" s="24">
        <f>E174*F174*G174*H174</f>
        <v>80000</v>
      </c>
      <c r="J174" s="112">
        <f t="shared" si="40"/>
        <v>1481.4814814814815</v>
      </c>
    </row>
    <row r="175" spans="1:11" x14ac:dyDescent="0.3">
      <c r="A175" s="3"/>
      <c r="B175" s="3"/>
      <c r="C175" s="3"/>
      <c r="D175" s="82" t="s">
        <v>10</v>
      </c>
      <c r="E175" s="82"/>
      <c r="F175" s="122"/>
      <c r="G175" s="82"/>
      <c r="H175" s="123"/>
      <c r="I175" s="121">
        <f>SUM(I170:I174)</f>
        <v>260000</v>
      </c>
      <c r="J175" s="121">
        <f>SUM(J170:J174)</f>
        <v>4814.8148148148148</v>
      </c>
    </row>
    <row r="176" spans="1:11" x14ac:dyDescent="0.3">
      <c r="A176" s="96"/>
      <c r="B176" s="96"/>
      <c r="C176" s="96"/>
      <c r="D176" s="96"/>
      <c r="E176" s="96"/>
      <c r="F176" s="124"/>
      <c r="G176" s="96"/>
      <c r="H176" s="125"/>
      <c r="I176" s="126"/>
      <c r="J176" s="96"/>
    </row>
    <row r="177" spans="1:11" x14ac:dyDescent="0.3">
      <c r="A177" s="769" t="s">
        <v>180</v>
      </c>
      <c r="B177" s="770"/>
      <c r="C177" s="770"/>
      <c r="D177" s="771"/>
      <c r="E177" s="127"/>
      <c r="F177" s="128"/>
      <c r="G177" s="127"/>
      <c r="H177" s="129"/>
      <c r="I177" s="127"/>
      <c r="J177" s="127"/>
    </row>
    <row r="178" spans="1:11" x14ac:dyDescent="0.3">
      <c r="A178" s="3"/>
      <c r="B178" s="3" t="s">
        <v>92</v>
      </c>
      <c r="C178" s="3" t="s">
        <v>93</v>
      </c>
      <c r="D178" s="3"/>
      <c r="E178" s="3">
        <v>40</v>
      </c>
      <c r="F178" s="111">
        <v>1000</v>
      </c>
      <c r="G178" s="3">
        <v>3</v>
      </c>
      <c r="H178" s="16">
        <v>1</v>
      </c>
      <c r="I178" s="24">
        <f t="shared" ref="I178:I185" si="41">E178*F178*G178*H178</f>
        <v>120000</v>
      </c>
      <c r="J178" s="133">
        <f>I178/54</f>
        <v>2222.2222222222222</v>
      </c>
    </row>
    <row r="179" spans="1:11" x14ac:dyDescent="0.3">
      <c r="A179" s="3"/>
      <c r="B179" s="3" t="s">
        <v>86</v>
      </c>
      <c r="C179" s="3" t="s">
        <v>94</v>
      </c>
      <c r="D179" s="3" t="s">
        <v>110</v>
      </c>
      <c r="E179" s="3">
        <v>40</v>
      </c>
      <c r="F179" s="111">
        <v>5000</v>
      </c>
      <c r="G179" s="3">
        <v>1</v>
      </c>
      <c r="H179" s="16">
        <v>1</v>
      </c>
      <c r="I179" s="24">
        <f t="shared" si="41"/>
        <v>200000</v>
      </c>
      <c r="J179" s="133">
        <f t="shared" ref="J179:J186" si="42">I179/54</f>
        <v>3703.7037037037039</v>
      </c>
    </row>
    <row r="180" spans="1:11" x14ac:dyDescent="0.3">
      <c r="A180" s="3"/>
      <c r="B180" s="3" t="s">
        <v>95</v>
      </c>
      <c r="C180" s="3" t="s">
        <v>96</v>
      </c>
      <c r="D180" s="3" t="s">
        <v>110</v>
      </c>
      <c r="E180" s="3">
        <v>40</v>
      </c>
      <c r="F180" s="111">
        <v>10000</v>
      </c>
      <c r="G180" s="3">
        <v>3</v>
      </c>
      <c r="H180" s="16">
        <v>1</v>
      </c>
      <c r="I180" s="24">
        <f t="shared" si="41"/>
        <v>1200000</v>
      </c>
      <c r="J180" s="133">
        <f t="shared" si="42"/>
        <v>22222.222222222223</v>
      </c>
    </row>
    <row r="181" spans="1:11" x14ac:dyDescent="0.3">
      <c r="A181" s="3"/>
      <c r="B181" s="3" t="s">
        <v>97</v>
      </c>
      <c r="C181" s="3" t="s">
        <v>171</v>
      </c>
      <c r="D181" s="3" t="s">
        <v>110</v>
      </c>
      <c r="E181" s="3">
        <v>40</v>
      </c>
      <c r="F181" s="111">
        <v>1500</v>
      </c>
      <c r="G181" s="3">
        <v>3</v>
      </c>
      <c r="H181" s="16">
        <v>1</v>
      </c>
      <c r="I181" s="24">
        <f t="shared" si="41"/>
        <v>180000</v>
      </c>
      <c r="J181" s="133">
        <f t="shared" si="42"/>
        <v>3333.3333333333335</v>
      </c>
    </row>
    <row r="182" spans="1:11" x14ac:dyDescent="0.3">
      <c r="A182" s="3"/>
      <c r="B182" s="3" t="s">
        <v>99</v>
      </c>
      <c r="C182" s="3" t="s">
        <v>100</v>
      </c>
      <c r="D182" s="3" t="s">
        <v>112</v>
      </c>
      <c r="E182" s="3">
        <v>1</v>
      </c>
      <c r="F182" s="111">
        <v>10000</v>
      </c>
      <c r="G182" s="3">
        <v>3</v>
      </c>
      <c r="H182" s="16">
        <v>1</v>
      </c>
      <c r="I182" s="24">
        <f t="shared" si="41"/>
        <v>30000</v>
      </c>
      <c r="J182" s="133">
        <f t="shared" si="42"/>
        <v>555.55555555555554</v>
      </c>
    </row>
    <row r="183" spans="1:11" x14ac:dyDescent="0.3">
      <c r="A183" s="3"/>
      <c r="B183" s="3" t="s">
        <v>101</v>
      </c>
      <c r="C183" s="3" t="s">
        <v>102</v>
      </c>
      <c r="D183" s="3"/>
      <c r="E183" s="3">
        <v>1</v>
      </c>
      <c r="F183" s="111">
        <v>25000</v>
      </c>
      <c r="G183" s="3">
        <v>3</v>
      </c>
      <c r="H183" s="16">
        <v>1</v>
      </c>
      <c r="I183" s="24">
        <f t="shared" si="41"/>
        <v>75000</v>
      </c>
      <c r="J183" s="133">
        <f t="shared" si="42"/>
        <v>1388.8888888888889</v>
      </c>
    </row>
    <row r="184" spans="1:11" x14ac:dyDescent="0.3">
      <c r="A184" s="3"/>
      <c r="B184" s="3" t="s">
        <v>103</v>
      </c>
      <c r="C184" s="3" t="s">
        <v>104</v>
      </c>
      <c r="D184" s="3" t="s">
        <v>105</v>
      </c>
      <c r="E184" s="3">
        <v>1</v>
      </c>
      <c r="F184" s="111">
        <v>25000</v>
      </c>
      <c r="G184" s="3">
        <v>3</v>
      </c>
      <c r="H184" s="16">
        <v>1</v>
      </c>
      <c r="I184" s="24">
        <f t="shared" si="41"/>
        <v>75000</v>
      </c>
      <c r="J184" s="133">
        <f t="shared" si="42"/>
        <v>1388.8888888888889</v>
      </c>
    </row>
    <row r="185" spans="1:11" x14ac:dyDescent="0.3">
      <c r="A185" s="3"/>
      <c r="B185" s="3" t="s">
        <v>106</v>
      </c>
      <c r="C185" s="3" t="s">
        <v>107</v>
      </c>
      <c r="D185" s="3"/>
      <c r="E185" s="3">
        <v>40</v>
      </c>
      <c r="F185" s="111">
        <v>400</v>
      </c>
      <c r="G185" s="3">
        <v>3</v>
      </c>
      <c r="H185" s="16">
        <v>1</v>
      </c>
      <c r="I185" s="24">
        <f t="shared" si="41"/>
        <v>48000</v>
      </c>
      <c r="J185" s="133">
        <f t="shared" si="42"/>
        <v>888.88888888888891</v>
      </c>
    </row>
    <row r="186" spans="1:11" x14ac:dyDescent="0.3">
      <c r="A186" s="3"/>
      <c r="B186" s="3"/>
      <c r="C186" s="3"/>
      <c r="D186" s="82" t="s">
        <v>10</v>
      </c>
      <c r="E186" s="82"/>
      <c r="F186" s="122"/>
      <c r="G186" s="82"/>
      <c r="H186" s="123"/>
      <c r="I186" s="121">
        <f>SUM(I178:I185)</f>
        <v>1928000</v>
      </c>
      <c r="J186" s="121">
        <f t="shared" si="42"/>
        <v>35703.703703703701</v>
      </c>
    </row>
    <row r="187" spans="1:11" x14ac:dyDescent="0.3">
      <c r="A187" s="3"/>
      <c r="B187" s="3"/>
      <c r="C187" s="3"/>
      <c r="D187" s="3"/>
      <c r="E187" s="3"/>
      <c r="F187" s="3"/>
      <c r="G187" s="3"/>
      <c r="H187" s="16"/>
      <c r="I187" s="3"/>
      <c r="J187" s="3"/>
    </row>
    <row r="188" spans="1:11" x14ac:dyDescent="0.3">
      <c r="A188" s="3"/>
      <c r="B188" s="3"/>
      <c r="C188" s="3"/>
      <c r="D188" s="83" t="s">
        <v>19</v>
      </c>
      <c r="E188" s="83"/>
      <c r="F188" s="83"/>
      <c r="G188" s="83"/>
      <c r="H188" s="131"/>
      <c r="I188" s="132">
        <f>I175+I186</f>
        <v>2188000</v>
      </c>
      <c r="J188" s="132">
        <f>J175+J186</f>
        <v>40518.518518518518</v>
      </c>
      <c r="K188" s="1">
        <f>I188/40</f>
        <v>54700</v>
      </c>
    </row>
    <row r="190" spans="1:11" x14ac:dyDescent="0.3">
      <c r="A190" s="772" t="s">
        <v>219</v>
      </c>
      <c r="B190" s="773"/>
      <c r="C190" s="773"/>
      <c r="D190" s="773"/>
      <c r="E190" s="773"/>
      <c r="F190" s="773"/>
      <c r="G190" s="773"/>
      <c r="H190" s="773"/>
      <c r="I190" s="773"/>
      <c r="J190" s="773"/>
    </row>
    <row r="191" spans="1:11" x14ac:dyDescent="0.3">
      <c r="A191" s="26"/>
      <c r="B191" s="26"/>
      <c r="C191" s="26" t="s">
        <v>4</v>
      </c>
      <c r="D191" s="26" t="s">
        <v>79</v>
      </c>
      <c r="E191" s="26" t="s">
        <v>80</v>
      </c>
      <c r="F191" s="26" t="s">
        <v>50</v>
      </c>
      <c r="G191" s="26" t="s">
        <v>57</v>
      </c>
      <c r="H191" s="27" t="s">
        <v>53</v>
      </c>
      <c r="I191" s="28" t="s">
        <v>65</v>
      </c>
      <c r="J191" s="28" t="s">
        <v>81</v>
      </c>
    </row>
    <row r="192" spans="1:11" x14ac:dyDescent="0.3">
      <c r="A192" s="774" t="s">
        <v>169</v>
      </c>
      <c r="B192" s="775"/>
      <c r="C192" s="775"/>
      <c r="D192" s="776"/>
      <c r="E192" s="107"/>
      <c r="F192" s="107"/>
      <c r="G192" s="107"/>
      <c r="H192" s="108"/>
      <c r="I192" s="107"/>
      <c r="J192" s="107"/>
    </row>
    <row r="193" spans="1:10" x14ac:dyDescent="0.3">
      <c r="A193" s="3">
        <v>1</v>
      </c>
      <c r="B193" s="3" t="s">
        <v>170</v>
      </c>
      <c r="C193" s="3"/>
      <c r="D193" s="3"/>
      <c r="E193" s="3"/>
      <c r="F193" s="3"/>
      <c r="G193" s="3"/>
      <c r="H193" s="16"/>
      <c r="I193" s="3"/>
      <c r="J193" s="3"/>
    </row>
    <row r="194" spans="1:10" x14ac:dyDescent="0.3">
      <c r="A194" s="3"/>
      <c r="B194" s="3" t="s">
        <v>84</v>
      </c>
      <c r="C194" s="3"/>
      <c r="D194" s="3" t="s">
        <v>85</v>
      </c>
      <c r="E194" s="3">
        <v>3</v>
      </c>
      <c r="F194" s="111">
        <v>15000</v>
      </c>
      <c r="G194" s="3">
        <v>4</v>
      </c>
      <c r="H194" s="16">
        <v>1</v>
      </c>
      <c r="I194" s="24">
        <f>E194*F194*G194*H194</f>
        <v>180000</v>
      </c>
      <c r="J194" s="112">
        <f>I194/54</f>
        <v>3333.3333333333335</v>
      </c>
    </row>
    <row r="195" spans="1:10" x14ac:dyDescent="0.3">
      <c r="A195" s="3"/>
      <c r="B195" s="3" t="s">
        <v>86</v>
      </c>
      <c r="C195" s="3" t="s">
        <v>87</v>
      </c>
      <c r="D195" s="3"/>
      <c r="E195" s="3"/>
      <c r="F195" s="111"/>
      <c r="G195" s="3"/>
      <c r="H195" s="16"/>
      <c r="I195" s="3"/>
      <c r="J195" s="112">
        <f t="shared" ref="J195:J199" si="43">I195/54</f>
        <v>0</v>
      </c>
    </row>
    <row r="196" spans="1:10" x14ac:dyDescent="0.3">
      <c r="A196" s="3"/>
      <c r="B196" s="3"/>
      <c r="C196" s="3" t="s">
        <v>88</v>
      </c>
      <c r="D196" s="3"/>
      <c r="E196" s="79">
        <v>3</v>
      </c>
      <c r="F196" s="111">
        <v>20000</v>
      </c>
      <c r="G196" s="3">
        <v>1</v>
      </c>
      <c r="H196" s="16">
        <v>1</v>
      </c>
      <c r="I196" s="24">
        <f>E196*F196*G196*H196</f>
        <v>60000</v>
      </c>
      <c r="J196" s="112">
        <f t="shared" si="43"/>
        <v>1111.1111111111111</v>
      </c>
    </row>
    <row r="197" spans="1:10" x14ac:dyDescent="0.3">
      <c r="A197" s="3"/>
      <c r="B197" s="3"/>
      <c r="C197" s="3" t="s">
        <v>89</v>
      </c>
      <c r="D197" s="3"/>
      <c r="E197" s="79">
        <v>3</v>
      </c>
      <c r="F197" s="111">
        <v>2500</v>
      </c>
      <c r="G197" s="3">
        <v>4</v>
      </c>
      <c r="H197" s="16">
        <v>1</v>
      </c>
      <c r="I197" s="24">
        <f>E197*F197*G197*H197</f>
        <v>30000</v>
      </c>
      <c r="J197" s="112">
        <f t="shared" si="43"/>
        <v>555.55555555555554</v>
      </c>
    </row>
    <row r="198" spans="1:10" x14ac:dyDescent="0.3">
      <c r="A198" s="3"/>
      <c r="B198" s="3"/>
      <c r="C198" s="3" t="s">
        <v>90</v>
      </c>
      <c r="D198" s="3"/>
      <c r="E198" s="79">
        <v>3</v>
      </c>
      <c r="F198" s="111">
        <v>10000</v>
      </c>
      <c r="G198" s="3">
        <v>4</v>
      </c>
      <c r="H198" s="16">
        <v>1</v>
      </c>
      <c r="I198" s="24">
        <f>E198*F198*G198*H198</f>
        <v>120000</v>
      </c>
      <c r="J198" s="112">
        <f t="shared" si="43"/>
        <v>2222.2222222222222</v>
      </c>
    </row>
    <row r="199" spans="1:10" x14ac:dyDescent="0.3">
      <c r="A199" s="3"/>
      <c r="B199" s="3"/>
      <c r="C199" s="3"/>
      <c r="D199" s="82" t="s">
        <v>10</v>
      </c>
      <c r="E199" s="82"/>
      <c r="F199" s="122"/>
      <c r="G199" s="82"/>
      <c r="H199" s="123"/>
      <c r="I199" s="121">
        <f>SUM(I194:I198)</f>
        <v>390000</v>
      </c>
      <c r="J199" s="121">
        <f t="shared" si="43"/>
        <v>7222.2222222222226</v>
      </c>
    </row>
    <row r="200" spans="1:10" x14ac:dyDescent="0.3">
      <c r="A200" s="96"/>
      <c r="B200" s="96"/>
      <c r="C200" s="96"/>
      <c r="D200" s="96"/>
      <c r="E200" s="96"/>
      <c r="F200" s="124"/>
      <c r="G200" s="96"/>
      <c r="H200" s="125"/>
      <c r="I200" s="126"/>
      <c r="J200" s="96"/>
    </row>
    <row r="201" spans="1:10" x14ac:dyDescent="0.3">
      <c r="A201" s="769" t="s">
        <v>91</v>
      </c>
      <c r="B201" s="770"/>
      <c r="C201" s="770"/>
      <c r="D201" s="771"/>
      <c r="E201" s="127"/>
      <c r="F201" s="128"/>
      <c r="G201" s="127"/>
      <c r="H201" s="129"/>
      <c r="I201" s="127"/>
      <c r="J201" s="127"/>
    </row>
    <row r="202" spans="1:10" x14ac:dyDescent="0.3">
      <c r="A202" s="3"/>
      <c r="B202" s="3" t="s">
        <v>92</v>
      </c>
      <c r="C202" s="3" t="s">
        <v>93</v>
      </c>
      <c r="D202" s="3"/>
      <c r="E202" s="3">
        <v>40</v>
      </c>
      <c r="F202" s="111">
        <v>2000</v>
      </c>
      <c r="G202" s="3">
        <v>3</v>
      </c>
      <c r="H202" s="16">
        <v>1</v>
      </c>
      <c r="I202" s="24">
        <f t="shared" ref="I202:I209" si="44">E202*F202*G202*H202</f>
        <v>240000</v>
      </c>
      <c r="J202" s="24">
        <f>I202/54</f>
        <v>4444.4444444444443</v>
      </c>
    </row>
    <row r="203" spans="1:10" x14ac:dyDescent="0.3">
      <c r="A203" s="3"/>
      <c r="B203" s="3" t="s">
        <v>86</v>
      </c>
      <c r="C203" s="3" t="s">
        <v>94</v>
      </c>
      <c r="D203" s="3"/>
      <c r="E203" s="3">
        <v>30</v>
      </c>
      <c r="F203" s="111">
        <v>20000</v>
      </c>
      <c r="G203" s="3">
        <v>1</v>
      </c>
      <c r="H203" s="16">
        <v>1</v>
      </c>
      <c r="I203" s="24">
        <f t="shared" si="44"/>
        <v>600000</v>
      </c>
      <c r="J203" s="24">
        <f t="shared" ref="J203:J209" si="45">I203/54</f>
        <v>11111.111111111111</v>
      </c>
    </row>
    <row r="204" spans="1:10" x14ac:dyDescent="0.3">
      <c r="A204" s="3"/>
      <c r="B204" s="3" t="s">
        <v>95</v>
      </c>
      <c r="C204" s="3" t="s">
        <v>96</v>
      </c>
      <c r="D204" s="3"/>
      <c r="E204" s="3">
        <v>30</v>
      </c>
      <c r="F204" s="111">
        <v>10000</v>
      </c>
      <c r="G204" s="3">
        <v>3</v>
      </c>
      <c r="H204" s="16">
        <v>1</v>
      </c>
      <c r="I204" s="24">
        <f t="shared" si="44"/>
        <v>900000</v>
      </c>
      <c r="J204" s="24">
        <f t="shared" si="45"/>
        <v>16666.666666666668</v>
      </c>
    </row>
    <row r="205" spans="1:10" x14ac:dyDescent="0.3">
      <c r="A205" s="3"/>
      <c r="B205" s="3" t="s">
        <v>97</v>
      </c>
      <c r="C205" s="3" t="s">
        <v>171</v>
      </c>
      <c r="D205" s="3" t="s">
        <v>172</v>
      </c>
      <c r="E205" s="3">
        <v>40</v>
      </c>
      <c r="F205" s="111">
        <v>2500</v>
      </c>
      <c r="G205" s="3">
        <v>3</v>
      </c>
      <c r="H205" s="16">
        <v>1</v>
      </c>
      <c r="I205" s="24">
        <f t="shared" si="44"/>
        <v>300000</v>
      </c>
      <c r="J205" s="24">
        <f t="shared" si="45"/>
        <v>5555.5555555555557</v>
      </c>
    </row>
    <row r="206" spans="1:10" x14ac:dyDescent="0.3">
      <c r="A206" s="3"/>
      <c r="B206" s="3" t="s">
        <v>99</v>
      </c>
      <c r="C206" s="3" t="s">
        <v>100</v>
      </c>
      <c r="D206" s="3"/>
      <c r="E206" s="3">
        <v>1</v>
      </c>
      <c r="F206" s="111">
        <v>45000</v>
      </c>
      <c r="G206" s="3">
        <v>3</v>
      </c>
      <c r="H206" s="16">
        <v>1</v>
      </c>
      <c r="I206" s="24">
        <f t="shared" si="44"/>
        <v>135000</v>
      </c>
      <c r="J206" s="24">
        <f t="shared" si="45"/>
        <v>2500</v>
      </c>
    </row>
    <row r="207" spans="1:10" x14ac:dyDescent="0.3">
      <c r="A207" s="3"/>
      <c r="B207" s="3" t="s">
        <v>101</v>
      </c>
      <c r="C207" s="3" t="s">
        <v>102</v>
      </c>
      <c r="D207" s="3"/>
      <c r="E207" s="3">
        <v>1</v>
      </c>
      <c r="F207" s="111">
        <v>25000</v>
      </c>
      <c r="G207" s="3">
        <v>3</v>
      </c>
      <c r="H207" s="16">
        <v>1</v>
      </c>
      <c r="I207" s="24">
        <f t="shared" si="44"/>
        <v>75000</v>
      </c>
      <c r="J207" s="24">
        <f t="shared" si="45"/>
        <v>1388.8888888888889</v>
      </c>
    </row>
    <row r="208" spans="1:10" x14ac:dyDescent="0.3">
      <c r="A208" s="3"/>
      <c r="B208" s="3" t="s">
        <v>103</v>
      </c>
      <c r="C208" s="3" t="s">
        <v>104</v>
      </c>
      <c r="D208" s="3" t="s">
        <v>105</v>
      </c>
      <c r="E208" s="3">
        <v>1</v>
      </c>
      <c r="F208" s="111">
        <v>25000</v>
      </c>
      <c r="G208" s="3">
        <v>3</v>
      </c>
      <c r="H208" s="16">
        <v>1</v>
      </c>
      <c r="I208" s="24">
        <f t="shared" si="44"/>
        <v>75000</v>
      </c>
      <c r="J208" s="24">
        <f t="shared" si="45"/>
        <v>1388.8888888888889</v>
      </c>
    </row>
    <row r="209" spans="1:11" x14ac:dyDescent="0.3">
      <c r="A209" s="3"/>
      <c r="B209" s="3" t="s">
        <v>106</v>
      </c>
      <c r="C209" s="3" t="s">
        <v>107</v>
      </c>
      <c r="D209" s="3"/>
      <c r="E209" s="3">
        <v>40</v>
      </c>
      <c r="F209" s="111">
        <v>500</v>
      </c>
      <c r="G209" s="3">
        <v>3</v>
      </c>
      <c r="H209" s="16">
        <v>1</v>
      </c>
      <c r="I209" s="24">
        <f t="shared" si="44"/>
        <v>60000</v>
      </c>
      <c r="J209" s="24">
        <f t="shared" si="45"/>
        <v>1111.1111111111111</v>
      </c>
    </row>
    <row r="210" spans="1:11" x14ac:dyDescent="0.3">
      <c r="A210" s="3"/>
      <c r="B210" s="3"/>
      <c r="C210" s="3"/>
      <c r="D210" s="82" t="s">
        <v>10</v>
      </c>
      <c r="E210" s="82"/>
      <c r="F210" s="122"/>
      <c r="G210" s="82"/>
      <c r="H210" s="123"/>
      <c r="I210" s="121">
        <f>SUM(I202:I209)</f>
        <v>2385000</v>
      </c>
      <c r="J210" s="121">
        <f>SUM(J202:J209)</f>
        <v>44166.666666666672</v>
      </c>
    </row>
    <row r="211" spans="1:11" x14ac:dyDescent="0.3">
      <c r="A211" s="3"/>
      <c r="B211" s="3"/>
      <c r="C211" s="3"/>
      <c r="D211" s="3"/>
      <c r="E211" s="3"/>
      <c r="F211" s="3"/>
      <c r="G211" s="3"/>
      <c r="H211" s="16"/>
      <c r="I211" s="3"/>
      <c r="J211" s="3"/>
    </row>
    <row r="212" spans="1:11" x14ac:dyDescent="0.3">
      <c r="A212" s="3"/>
      <c r="B212" s="3"/>
      <c r="C212" s="3"/>
      <c r="D212" s="83" t="s">
        <v>19</v>
      </c>
      <c r="E212" s="83"/>
      <c r="F212" s="83"/>
      <c r="G212" s="83"/>
      <c r="H212" s="131"/>
      <c r="I212" s="132">
        <f>I199+I210</f>
        <v>2775000</v>
      </c>
      <c r="J212" s="132">
        <f>J199+J210</f>
        <v>51388.888888888891</v>
      </c>
      <c r="K212" s="1">
        <f>I212/40</f>
        <v>69375</v>
      </c>
    </row>
    <row r="214" spans="1:11" x14ac:dyDescent="0.3">
      <c r="A214" s="772" t="s">
        <v>220</v>
      </c>
      <c r="B214" s="773"/>
      <c r="C214" s="773"/>
      <c r="D214" s="773"/>
      <c r="E214" s="773"/>
      <c r="F214" s="773"/>
      <c r="G214" s="773"/>
      <c r="H214" s="773"/>
      <c r="I214" s="773"/>
      <c r="J214" s="773"/>
    </row>
    <row r="215" spans="1:11" x14ac:dyDescent="0.3">
      <c r="A215" s="26"/>
      <c r="B215" s="26"/>
      <c r="C215" s="26" t="s">
        <v>4</v>
      </c>
      <c r="D215" s="26" t="s">
        <v>79</v>
      </c>
      <c r="E215" s="26" t="s">
        <v>80</v>
      </c>
      <c r="F215" s="26" t="s">
        <v>50</v>
      </c>
      <c r="G215" s="26" t="s">
        <v>57</v>
      </c>
      <c r="H215" s="27" t="s">
        <v>53</v>
      </c>
      <c r="I215" s="28" t="s">
        <v>65</v>
      </c>
      <c r="J215" s="28" t="s">
        <v>81</v>
      </c>
    </row>
    <row r="216" spans="1:11" x14ac:dyDescent="0.3">
      <c r="A216" s="774"/>
      <c r="B216" s="775"/>
      <c r="C216" s="775"/>
      <c r="D216" s="776"/>
      <c r="E216" s="107"/>
      <c r="F216" s="107"/>
      <c r="G216" s="107"/>
      <c r="H216" s="108"/>
      <c r="I216" s="107"/>
      <c r="J216" s="107"/>
    </row>
    <row r="217" spans="1:11" x14ac:dyDescent="0.3">
      <c r="A217" s="3">
        <v>1</v>
      </c>
      <c r="B217" s="3" t="s">
        <v>108</v>
      </c>
      <c r="C217" s="3"/>
      <c r="D217" s="3"/>
      <c r="E217" s="3"/>
      <c r="F217" s="3"/>
      <c r="G217" s="3"/>
      <c r="H217" s="16"/>
      <c r="I217" s="3"/>
      <c r="J217" s="3"/>
    </row>
    <row r="218" spans="1:11" x14ac:dyDescent="0.3">
      <c r="A218" s="3"/>
      <c r="B218" s="3" t="s">
        <v>84</v>
      </c>
      <c r="C218" s="3"/>
      <c r="D218" s="3" t="s">
        <v>85</v>
      </c>
      <c r="E218" s="3">
        <v>2</v>
      </c>
      <c r="F218" s="111">
        <v>15000</v>
      </c>
      <c r="G218" s="3">
        <v>4</v>
      </c>
      <c r="H218" s="16">
        <v>1</v>
      </c>
      <c r="I218" s="24">
        <f>E218*F218*G218*H218</f>
        <v>120000</v>
      </c>
      <c r="J218" s="112">
        <f>I218/54</f>
        <v>2222.2222222222222</v>
      </c>
    </row>
    <row r="219" spans="1:11" x14ac:dyDescent="0.3">
      <c r="A219" s="3"/>
      <c r="B219" s="3" t="s">
        <v>86</v>
      </c>
      <c r="C219" s="3" t="s">
        <v>87</v>
      </c>
      <c r="D219" s="3"/>
      <c r="E219" s="3"/>
      <c r="F219" s="111"/>
      <c r="G219" s="3"/>
      <c r="H219" s="16"/>
      <c r="I219" s="3"/>
      <c r="J219" s="112">
        <f t="shared" ref="J219:J222" si="46">I219/54</f>
        <v>0</v>
      </c>
    </row>
    <row r="220" spans="1:11" x14ac:dyDescent="0.3">
      <c r="A220" s="3"/>
      <c r="B220" s="3"/>
      <c r="C220" s="3" t="s">
        <v>88</v>
      </c>
      <c r="D220" s="3"/>
      <c r="E220" s="79">
        <v>2</v>
      </c>
      <c r="F220" s="111">
        <v>20000</v>
      </c>
      <c r="G220" s="3">
        <v>1</v>
      </c>
      <c r="H220" s="16">
        <v>1</v>
      </c>
      <c r="I220" s="24">
        <f>E220*F220*G220*H220</f>
        <v>40000</v>
      </c>
      <c r="J220" s="112">
        <f t="shared" si="46"/>
        <v>740.74074074074076</v>
      </c>
    </row>
    <row r="221" spans="1:11" x14ac:dyDescent="0.3">
      <c r="A221" s="3"/>
      <c r="B221" s="3"/>
      <c r="C221" s="3" t="s">
        <v>89</v>
      </c>
      <c r="D221" s="3"/>
      <c r="E221" s="79">
        <v>2</v>
      </c>
      <c r="F221" s="111">
        <v>2500</v>
      </c>
      <c r="G221" s="3">
        <v>4</v>
      </c>
      <c r="H221" s="16">
        <v>1</v>
      </c>
      <c r="I221" s="24">
        <f>E221*F221*G221*H221</f>
        <v>20000</v>
      </c>
      <c r="J221" s="112">
        <f t="shared" si="46"/>
        <v>370.37037037037038</v>
      </c>
    </row>
    <row r="222" spans="1:11" x14ac:dyDescent="0.3">
      <c r="A222" s="3"/>
      <c r="B222" s="3"/>
      <c r="C222" s="3" t="s">
        <v>90</v>
      </c>
      <c r="D222" s="3"/>
      <c r="E222" s="79">
        <v>2</v>
      </c>
      <c r="F222" s="111">
        <v>10000</v>
      </c>
      <c r="G222" s="3">
        <v>4</v>
      </c>
      <c r="H222" s="16">
        <v>1</v>
      </c>
      <c r="I222" s="24">
        <f>E222*F222*G222*H222</f>
        <v>80000</v>
      </c>
      <c r="J222" s="112">
        <f t="shared" si="46"/>
        <v>1481.4814814814815</v>
      </c>
    </row>
    <row r="223" spans="1:11" x14ac:dyDescent="0.3">
      <c r="A223" s="3"/>
      <c r="B223" s="3"/>
      <c r="C223" s="3"/>
      <c r="D223" s="82" t="s">
        <v>10</v>
      </c>
      <c r="E223" s="82"/>
      <c r="F223" s="122"/>
      <c r="G223" s="82"/>
      <c r="H223" s="123"/>
      <c r="I223" s="121">
        <f>SUM(I218:I222)</f>
        <v>260000</v>
      </c>
      <c r="J223" s="121">
        <f>SUM(J218:J222)</f>
        <v>4814.8148148148148</v>
      </c>
    </row>
    <row r="224" spans="1:11" x14ac:dyDescent="0.3">
      <c r="A224" s="96"/>
      <c r="B224" s="96"/>
      <c r="C224" s="96"/>
      <c r="D224" s="96"/>
      <c r="E224" s="96"/>
      <c r="F224" s="124"/>
      <c r="G224" s="96"/>
      <c r="H224" s="125"/>
      <c r="I224" s="126"/>
      <c r="J224" s="96"/>
    </row>
    <row r="225" spans="1:11" x14ac:dyDescent="0.3">
      <c r="A225" s="769" t="s">
        <v>91</v>
      </c>
      <c r="B225" s="770"/>
      <c r="C225" s="770"/>
      <c r="D225" s="771"/>
      <c r="E225" s="127"/>
      <c r="F225" s="128"/>
      <c r="G225" s="127"/>
      <c r="H225" s="129"/>
      <c r="I225" s="127"/>
      <c r="J225" s="127"/>
    </row>
    <row r="226" spans="1:11" x14ac:dyDescent="0.3">
      <c r="A226" s="3"/>
      <c r="B226" s="3" t="s">
        <v>92</v>
      </c>
      <c r="C226" s="3" t="s">
        <v>93</v>
      </c>
      <c r="D226" s="3"/>
      <c r="E226" s="3">
        <v>40</v>
      </c>
      <c r="F226" s="111">
        <v>1000</v>
      </c>
      <c r="G226" s="3">
        <v>3</v>
      </c>
      <c r="H226" s="16">
        <v>1</v>
      </c>
      <c r="I226" s="24">
        <f t="shared" ref="I226:I233" si="47">E226*F226*G226*H226</f>
        <v>120000</v>
      </c>
      <c r="J226" s="133">
        <f>I226/54</f>
        <v>2222.2222222222222</v>
      </c>
    </row>
    <row r="227" spans="1:11" x14ac:dyDescent="0.3">
      <c r="A227" s="3"/>
      <c r="B227" s="3" t="s">
        <v>86</v>
      </c>
      <c r="C227" s="3" t="s">
        <v>94</v>
      </c>
      <c r="D227" s="3" t="s">
        <v>110</v>
      </c>
      <c r="E227" s="3">
        <v>30</v>
      </c>
      <c r="F227" s="111">
        <v>5000</v>
      </c>
      <c r="G227" s="3">
        <v>1</v>
      </c>
      <c r="H227" s="16">
        <v>1</v>
      </c>
      <c r="I227" s="24">
        <f t="shared" si="47"/>
        <v>150000</v>
      </c>
      <c r="J227" s="133">
        <f t="shared" ref="J227:J234" si="48">I227/54</f>
        <v>2777.7777777777778</v>
      </c>
    </row>
    <row r="228" spans="1:11" x14ac:dyDescent="0.3">
      <c r="A228" s="3"/>
      <c r="B228" s="3" t="s">
        <v>95</v>
      </c>
      <c r="C228" s="3" t="s">
        <v>96</v>
      </c>
      <c r="D228" s="3" t="s">
        <v>110</v>
      </c>
      <c r="E228" s="3">
        <v>30</v>
      </c>
      <c r="F228" s="111">
        <v>10000</v>
      </c>
      <c r="G228" s="3">
        <v>3</v>
      </c>
      <c r="H228" s="16">
        <v>1</v>
      </c>
      <c r="I228" s="24">
        <f t="shared" si="47"/>
        <v>900000</v>
      </c>
      <c r="J228" s="133">
        <f t="shared" si="48"/>
        <v>16666.666666666668</v>
      </c>
    </row>
    <row r="229" spans="1:11" x14ac:dyDescent="0.3">
      <c r="A229" s="3"/>
      <c r="B229" s="3" t="s">
        <v>97</v>
      </c>
      <c r="C229" s="3" t="s">
        <v>171</v>
      </c>
      <c r="D229" s="3" t="s">
        <v>110</v>
      </c>
      <c r="E229" s="3">
        <v>40</v>
      </c>
      <c r="F229" s="111">
        <v>1500</v>
      </c>
      <c r="G229" s="3">
        <v>3</v>
      </c>
      <c r="H229" s="16">
        <v>1</v>
      </c>
      <c r="I229" s="24">
        <f t="shared" si="47"/>
        <v>180000</v>
      </c>
      <c r="J229" s="133">
        <f t="shared" si="48"/>
        <v>3333.3333333333335</v>
      </c>
    </row>
    <row r="230" spans="1:11" x14ac:dyDescent="0.3">
      <c r="A230" s="3"/>
      <c r="B230" s="3" t="s">
        <v>99</v>
      </c>
      <c r="C230" s="3" t="s">
        <v>100</v>
      </c>
      <c r="D230" s="3" t="s">
        <v>112</v>
      </c>
      <c r="E230" s="3">
        <v>1</v>
      </c>
      <c r="F230" s="111">
        <v>10000</v>
      </c>
      <c r="G230" s="3">
        <v>3</v>
      </c>
      <c r="H230" s="16">
        <v>1</v>
      </c>
      <c r="I230" s="24">
        <f t="shared" si="47"/>
        <v>30000</v>
      </c>
      <c r="J230" s="133">
        <f t="shared" si="48"/>
        <v>555.55555555555554</v>
      </c>
    </row>
    <row r="231" spans="1:11" x14ac:dyDescent="0.3">
      <c r="A231" s="3"/>
      <c r="B231" s="3" t="s">
        <v>101</v>
      </c>
      <c r="C231" s="3" t="s">
        <v>102</v>
      </c>
      <c r="D231" s="3"/>
      <c r="E231" s="3">
        <v>1</v>
      </c>
      <c r="F231" s="111">
        <v>25000</v>
      </c>
      <c r="G231" s="3">
        <v>3</v>
      </c>
      <c r="H231" s="16">
        <v>1</v>
      </c>
      <c r="I231" s="24">
        <f t="shared" si="47"/>
        <v>75000</v>
      </c>
      <c r="J231" s="133">
        <f t="shared" si="48"/>
        <v>1388.8888888888889</v>
      </c>
    </row>
    <row r="232" spans="1:11" x14ac:dyDescent="0.3">
      <c r="A232" s="3"/>
      <c r="B232" s="3" t="s">
        <v>103</v>
      </c>
      <c r="C232" s="3" t="s">
        <v>104</v>
      </c>
      <c r="D232" s="3" t="s">
        <v>105</v>
      </c>
      <c r="E232" s="3">
        <v>1</v>
      </c>
      <c r="F232" s="111">
        <v>25000</v>
      </c>
      <c r="G232" s="3">
        <v>3</v>
      </c>
      <c r="H232" s="16">
        <v>1</v>
      </c>
      <c r="I232" s="24">
        <f t="shared" si="47"/>
        <v>75000</v>
      </c>
      <c r="J232" s="133">
        <f t="shared" si="48"/>
        <v>1388.8888888888889</v>
      </c>
    </row>
    <row r="233" spans="1:11" x14ac:dyDescent="0.3">
      <c r="A233" s="3"/>
      <c r="B233" s="3" t="s">
        <v>106</v>
      </c>
      <c r="C233" s="3" t="s">
        <v>107</v>
      </c>
      <c r="D233" s="3"/>
      <c r="E233" s="3">
        <v>40</v>
      </c>
      <c r="F233" s="111">
        <v>400</v>
      </c>
      <c r="G233" s="3">
        <v>3</v>
      </c>
      <c r="H233" s="16">
        <v>1</v>
      </c>
      <c r="I233" s="24">
        <f t="shared" si="47"/>
        <v>48000</v>
      </c>
      <c r="J233" s="133">
        <f t="shared" si="48"/>
        <v>888.88888888888891</v>
      </c>
    </row>
    <row r="234" spans="1:11" x14ac:dyDescent="0.3">
      <c r="A234" s="3"/>
      <c r="B234" s="3"/>
      <c r="C234" s="3"/>
      <c r="D234" s="82" t="s">
        <v>10</v>
      </c>
      <c r="E234" s="82"/>
      <c r="F234" s="122"/>
      <c r="G234" s="82"/>
      <c r="H234" s="123"/>
      <c r="I234" s="121">
        <f>SUM(I226:I233)</f>
        <v>1578000</v>
      </c>
      <c r="J234" s="121">
        <f t="shared" si="48"/>
        <v>29222.222222222223</v>
      </c>
    </row>
    <row r="235" spans="1:11" x14ac:dyDescent="0.3">
      <c r="A235" s="3"/>
      <c r="B235" s="3"/>
      <c r="C235" s="3"/>
      <c r="D235" s="3"/>
      <c r="E235" s="3"/>
      <c r="F235" s="3"/>
      <c r="G235" s="3"/>
      <c r="H235" s="16"/>
      <c r="I235" s="3"/>
      <c r="J235" s="3"/>
    </row>
    <row r="236" spans="1:11" x14ac:dyDescent="0.3">
      <c r="A236" s="3"/>
      <c r="B236" s="3"/>
      <c r="C236" s="3"/>
      <c r="D236" s="83" t="s">
        <v>19</v>
      </c>
      <c r="E236" s="83"/>
      <c r="F236" s="83"/>
      <c r="G236" s="83"/>
      <c r="H236" s="131"/>
      <c r="I236" s="132">
        <f>I223+I234</f>
        <v>1838000</v>
      </c>
      <c r="J236" s="132">
        <f>J223+J234</f>
        <v>34037.037037037036</v>
      </c>
      <c r="K236" s="1">
        <f>I236/40</f>
        <v>45950</v>
      </c>
    </row>
    <row r="238" spans="1:11" x14ac:dyDescent="0.3">
      <c r="A238" s="772" t="s">
        <v>173</v>
      </c>
      <c r="B238" s="773"/>
      <c r="C238" s="773"/>
      <c r="D238" s="773"/>
      <c r="E238" s="773"/>
      <c r="F238" s="773"/>
      <c r="G238" s="773"/>
      <c r="H238" s="773"/>
      <c r="I238" s="773"/>
      <c r="J238" s="773"/>
    </row>
    <row r="239" spans="1:11" x14ac:dyDescent="0.3">
      <c r="A239" s="26"/>
      <c r="B239" s="26"/>
      <c r="C239" s="26" t="s">
        <v>4</v>
      </c>
      <c r="D239" s="26" t="s">
        <v>79</v>
      </c>
      <c r="E239" s="26" t="s">
        <v>80</v>
      </c>
      <c r="F239" s="26" t="s">
        <v>50</v>
      </c>
      <c r="G239" s="26" t="s">
        <v>57</v>
      </c>
      <c r="H239" s="27" t="s">
        <v>53</v>
      </c>
      <c r="I239" s="28" t="s">
        <v>65</v>
      </c>
      <c r="J239" s="28" t="s">
        <v>81</v>
      </c>
    </row>
    <row r="240" spans="1:11" x14ac:dyDescent="0.3">
      <c r="A240" s="774" t="s">
        <v>169</v>
      </c>
      <c r="B240" s="775"/>
      <c r="C240" s="775"/>
      <c r="D240" s="776"/>
      <c r="E240" s="107"/>
      <c r="F240" s="107"/>
      <c r="G240" s="107"/>
      <c r="H240" s="108"/>
      <c r="I240" s="107"/>
      <c r="J240" s="107"/>
    </row>
    <row r="241" spans="1:10" x14ac:dyDescent="0.3">
      <c r="A241" s="3">
        <v>1</v>
      </c>
      <c r="B241" s="3" t="s">
        <v>108</v>
      </c>
      <c r="C241" s="3"/>
      <c r="D241" s="3"/>
      <c r="E241" s="3"/>
      <c r="F241" s="3"/>
      <c r="G241" s="3"/>
      <c r="H241" s="16"/>
      <c r="I241" s="3"/>
      <c r="J241" s="3"/>
    </row>
    <row r="242" spans="1:10" x14ac:dyDescent="0.3">
      <c r="A242" s="3"/>
      <c r="B242" s="3" t="s">
        <v>84</v>
      </c>
      <c r="C242" s="3"/>
      <c r="D242" s="3" t="s">
        <v>85</v>
      </c>
      <c r="E242" s="3">
        <v>3</v>
      </c>
      <c r="F242" s="111">
        <v>15000</v>
      </c>
      <c r="G242" s="3">
        <v>6</v>
      </c>
      <c r="H242" s="16">
        <v>1</v>
      </c>
      <c r="I242" s="24">
        <f>E242*F242*G242*H242</f>
        <v>270000</v>
      </c>
      <c r="J242" s="112">
        <f>I242/54</f>
        <v>5000</v>
      </c>
    </row>
    <row r="243" spans="1:10" x14ac:dyDescent="0.3">
      <c r="A243" s="3"/>
      <c r="B243" s="3" t="s">
        <v>86</v>
      </c>
      <c r="C243" s="3" t="s">
        <v>87</v>
      </c>
      <c r="D243" s="3"/>
      <c r="E243" s="3"/>
      <c r="F243" s="111"/>
      <c r="G243" s="3"/>
      <c r="H243" s="16"/>
      <c r="I243" s="3"/>
      <c r="J243" s="112">
        <f t="shared" ref="J243:J247" si="49">I243/54</f>
        <v>0</v>
      </c>
    </row>
    <row r="244" spans="1:10" x14ac:dyDescent="0.3">
      <c r="A244" s="3"/>
      <c r="B244" s="3"/>
      <c r="C244" s="3" t="s">
        <v>88</v>
      </c>
      <c r="D244" s="3"/>
      <c r="E244" s="79">
        <v>3</v>
      </c>
      <c r="F244" s="111">
        <v>20000</v>
      </c>
      <c r="G244" s="3">
        <v>1</v>
      </c>
      <c r="H244" s="16">
        <v>1</v>
      </c>
      <c r="I244" s="24">
        <f>E244*F244*G244*H244</f>
        <v>60000</v>
      </c>
      <c r="J244" s="112">
        <f t="shared" si="49"/>
        <v>1111.1111111111111</v>
      </c>
    </row>
    <row r="245" spans="1:10" x14ac:dyDescent="0.3">
      <c r="A245" s="3"/>
      <c r="B245" s="3"/>
      <c r="C245" s="3" t="s">
        <v>89</v>
      </c>
      <c r="D245" s="3"/>
      <c r="E245" s="79">
        <v>3</v>
      </c>
      <c r="F245" s="111">
        <v>2500</v>
      </c>
      <c r="G245" s="3">
        <v>6</v>
      </c>
      <c r="H245" s="16">
        <v>1</v>
      </c>
      <c r="I245" s="24">
        <f>E245*F245*G245*H245</f>
        <v>45000</v>
      </c>
      <c r="J245" s="112">
        <f t="shared" si="49"/>
        <v>833.33333333333337</v>
      </c>
    </row>
    <row r="246" spans="1:10" x14ac:dyDescent="0.3">
      <c r="A246" s="3"/>
      <c r="B246" s="3"/>
      <c r="C246" s="3" t="s">
        <v>90</v>
      </c>
      <c r="D246" s="3"/>
      <c r="E246" s="79">
        <v>3</v>
      </c>
      <c r="F246" s="111">
        <v>10000</v>
      </c>
      <c r="G246" s="3">
        <v>6</v>
      </c>
      <c r="H246" s="16">
        <v>1</v>
      </c>
      <c r="I246" s="24">
        <f>E246*F246*G246*H246</f>
        <v>180000</v>
      </c>
      <c r="J246" s="112">
        <f t="shared" si="49"/>
        <v>3333.3333333333335</v>
      </c>
    </row>
    <row r="247" spans="1:10" x14ac:dyDescent="0.3">
      <c r="A247" s="3"/>
      <c r="B247" s="3"/>
      <c r="C247" s="3"/>
      <c r="D247" s="82" t="s">
        <v>10</v>
      </c>
      <c r="E247" s="82"/>
      <c r="F247" s="122"/>
      <c r="G247" s="82"/>
      <c r="H247" s="123"/>
      <c r="I247" s="121">
        <f>SUM(I242:I246)</f>
        <v>555000</v>
      </c>
      <c r="J247" s="121">
        <f t="shared" si="49"/>
        <v>10277.777777777777</v>
      </c>
    </row>
    <row r="248" spans="1:10" x14ac:dyDescent="0.3">
      <c r="A248" s="96"/>
      <c r="B248" s="96"/>
      <c r="C248" s="96"/>
      <c r="D248" s="96"/>
      <c r="E248" s="96"/>
      <c r="F248" s="124"/>
      <c r="G248" s="96"/>
      <c r="H248" s="125"/>
      <c r="I248" s="126"/>
      <c r="J248" s="96"/>
    </row>
    <row r="249" spans="1:10" x14ac:dyDescent="0.3">
      <c r="A249" s="769" t="s">
        <v>91</v>
      </c>
      <c r="B249" s="770"/>
      <c r="C249" s="770"/>
      <c r="D249" s="771"/>
      <c r="E249" s="127"/>
      <c r="F249" s="128"/>
      <c r="G249" s="127"/>
      <c r="H249" s="129"/>
      <c r="I249" s="127"/>
      <c r="J249" s="127"/>
    </row>
    <row r="250" spans="1:10" x14ac:dyDescent="0.3">
      <c r="A250" s="3"/>
      <c r="B250" s="3" t="s">
        <v>92</v>
      </c>
      <c r="C250" s="3" t="s">
        <v>93</v>
      </c>
      <c r="D250" s="3"/>
      <c r="E250" s="3">
        <v>40</v>
      </c>
      <c r="F250" s="111">
        <v>2000</v>
      </c>
      <c r="G250" s="3">
        <v>5</v>
      </c>
      <c r="H250" s="16">
        <v>1</v>
      </c>
      <c r="I250" s="24">
        <f t="shared" ref="I250:I257" si="50">E250*F250*G250*H250</f>
        <v>400000</v>
      </c>
      <c r="J250" s="24">
        <f>I250/54</f>
        <v>7407.4074074074078</v>
      </c>
    </row>
    <row r="251" spans="1:10" x14ac:dyDescent="0.3">
      <c r="A251" s="3"/>
      <c r="B251" s="3" t="s">
        <v>86</v>
      </c>
      <c r="C251" s="3" t="s">
        <v>94</v>
      </c>
      <c r="D251" s="3" t="s">
        <v>110</v>
      </c>
      <c r="E251" s="3">
        <v>30</v>
      </c>
      <c r="F251" s="111">
        <v>20000</v>
      </c>
      <c r="G251" s="3">
        <v>1</v>
      </c>
      <c r="H251" s="16">
        <v>1</v>
      </c>
      <c r="I251" s="24">
        <f t="shared" si="50"/>
        <v>600000</v>
      </c>
      <c r="J251" s="24">
        <f t="shared" ref="J251:J258" si="51">I251/54</f>
        <v>11111.111111111111</v>
      </c>
    </row>
    <row r="252" spans="1:10" x14ac:dyDescent="0.3">
      <c r="A252" s="3"/>
      <c r="B252" s="3" t="s">
        <v>95</v>
      </c>
      <c r="C252" s="3" t="s">
        <v>96</v>
      </c>
      <c r="D252" s="3" t="s">
        <v>110</v>
      </c>
      <c r="E252" s="3">
        <v>30</v>
      </c>
      <c r="F252" s="111">
        <v>10000</v>
      </c>
      <c r="G252" s="3">
        <v>5</v>
      </c>
      <c r="H252" s="16">
        <v>1</v>
      </c>
      <c r="I252" s="24">
        <f t="shared" si="50"/>
        <v>1500000</v>
      </c>
      <c r="J252" s="24">
        <f t="shared" si="51"/>
        <v>27777.777777777777</v>
      </c>
    </row>
    <row r="253" spans="1:10" x14ac:dyDescent="0.3">
      <c r="A253" s="3"/>
      <c r="B253" s="3" t="s">
        <v>97</v>
      </c>
      <c r="C253" s="3" t="s">
        <v>171</v>
      </c>
      <c r="D253" s="3" t="s">
        <v>172</v>
      </c>
      <c r="E253" s="3">
        <v>40</v>
      </c>
      <c r="F253" s="111">
        <v>2500</v>
      </c>
      <c r="G253" s="3">
        <v>5</v>
      </c>
      <c r="H253" s="16">
        <v>1</v>
      </c>
      <c r="I253" s="24">
        <f t="shared" si="50"/>
        <v>500000</v>
      </c>
      <c r="J253" s="24">
        <f t="shared" si="51"/>
        <v>9259.2592592592591</v>
      </c>
    </row>
    <row r="254" spans="1:10" x14ac:dyDescent="0.3">
      <c r="A254" s="3"/>
      <c r="B254" s="3" t="s">
        <v>99</v>
      </c>
      <c r="C254" s="3" t="s">
        <v>100</v>
      </c>
      <c r="D254" s="3"/>
      <c r="E254" s="3">
        <v>1</v>
      </c>
      <c r="F254" s="111">
        <v>45000</v>
      </c>
      <c r="G254" s="3">
        <v>5</v>
      </c>
      <c r="H254" s="16">
        <v>1</v>
      </c>
      <c r="I254" s="24">
        <f t="shared" si="50"/>
        <v>225000</v>
      </c>
      <c r="J254" s="24">
        <f t="shared" si="51"/>
        <v>4166.666666666667</v>
      </c>
    </row>
    <row r="255" spans="1:10" x14ac:dyDescent="0.3">
      <c r="A255" s="3"/>
      <c r="B255" s="3" t="s">
        <v>101</v>
      </c>
      <c r="C255" s="3" t="s">
        <v>102</v>
      </c>
      <c r="D255" s="3"/>
      <c r="E255" s="3">
        <v>1</v>
      </c>
      <c r="F255" s="111">
        <v>25000</v>
      </c>
      <c r="G255" s="3">
        <v>5</v>
      </c>
      <c r="H255" s="16">
        <v>1</v>
      </c>
      <c r="I255" s="24">
        <f t="shared" si="50"/>
        <v>125000</v>
      </c>
      <c r="J255" s="24">
        <f t="shared" si="51"/>
        <v>2314.8148148148148</v>
      </c>
    </row>
    <row r="256" spans="1:10" x14ac:dyDescent="0.3">
      <c r="A256" s="3"/>
      <c r="B256" s="3" t="s">
        <v>103</v>
      </c>
      <c r="C256" s="3" t="s">
        <v>104</v>
      </c>
      <c r="D256" s="3" t="s">
        <v>105</v>
      </c>
      <c r="E256" s="3">
        <v>1</v>
      </c>
      <c r="F256" s="111">
        <v>25000</v>
      </c>
      <c r="G256" s="3">
        <v>5</v>
      </c>
      <c r="H256" s="16">
        <v>1</v>
      </c>
      <c r="I256" s="24">
        <f t="shared" si="50"/>
        <v>125000</v>
      </c>
      <c r="J256" s="24">
        <f t="shared" si="51"/>
        <v>2314.8148148148148</v>
      </c>
    </row>
    <row r="257" spans="1:12" x14ac:dyDescent="0.3">
      <c r="A257" s="3"/>
      <c r="B257" s="3" t="s">
        <v>106</v>
      </c>
      <c r="C257" s="3" t="s">
        <v>107</v>
      </c>
      <c r="D257" s="3"/>
      <c r="E257" s="3">
        <v>40</v>
      </c>
      <c r="F257" s="111">
        <v>500</v>
      </c>
      <c r="G257" s="3">
        <v>5</v>
      </c>
      <c r="H257" s="16">
        <v>1</v>
      </c>
      <c r="I257" s="24">
        <f t="shared" si="50"/>
        <v>100000</v>
      </c>
      <c r="J257" s="24">
        <f t="shared" si="51"/>
        <v>1851.851851851852</v>
      </c>
    </row>
    <row r="258" spans="1:12" x14ac:dyDescent="0.3">
      <c r="A258" s="3"/>
      <c r="B258" s="3"/>
      <c r="C258" s="3"/>
      <c r="D258" s="82" t="s">
        <v>10</v>
      </c>
      <c r="E258" s="82"/>
      <c r="F258" s="122"/>
      <c r="G258" s="82"/>
      <c r="H258" s="123"/>
      <c r="I258" s="121">
        <f>SUM(I250:I257)</f>
        <v>3575000</v>
      </c>
      <c r="J258" s="121">
        <f t="shared" si="51"/>
        <v>66203.703703703708</v>
      </c>
    </row>
    <row r="259" spans="1:12" x14ac:dyDescent="0.3">
      <c r="A259" s="3"/>
      <c r="B259" s="3"/>
      <c r="C259" s="3"/>
      <c r="D259" s="3"/>
      <c r="E259" s="3"/>
      <c r="F259" s="3"/>
      <c r="G259" s="3"/>
      <c r="H259" s="16"/>
      <c r="I259" s="3"/>
      <c r="J259" s="3"/>
    </row>
    <row r="260" spans="1:12" x14ac:dyDescent="0.3">
      <c r="A260" s="3"/>
      <c r="B260" s="3"/>
      <c r="C260" s="3"/>
      <c r="D260" s="83" t="s">
        <v>19</v>
      </c>
      <c r="E260" s="83"/>
      <c r="F260" s="83"/>
      <c r="G260" s="83"/>
      <c r="H260" s="131"/>
      <c r="I260" s="132">
        <f>I247+I258</f>
        <v>4130000</v>
      </c>
      <c r="J260" s="132">
        <f>J247+J258</f>
        <v>76481.481481481489</v>
      </c>
      <c r="K260" s="1">
        <f>I260/40</f>
        <v>103250</v>
      </c>
      <c r="L260" s="1">
        <f>J260/40</f>
        <v>1912.0370370370372</v>
      </c>
    </row>
    <row r="262" spans="1:12" x14ac:dyDescent="0.3">
      <c r="A262" s="772" t="s">
        <v>221</v>
      </c>
      <c r="B262" s="773"/>
      <c r="C262" s="773"/>
      <c r="D262" s="773"/>
      <c r="E262" s="773"/>
      <c r="F262" s="773"/>
      <c r="G262" s="773"/>
      <c r="H262" s="773"/>
      <c r="I262" s="773"/>
      <c r="J262" s="773"/>
    </row>
    <row r="263" spans="1:12" x14ac:dyDescent="0.3">
      <c r="A263" s="26"/>
      <c r="B263" s="26"/>
      <c r="C263" s="26" t="s">
        <v>4</v>
      </c>
      <c r="D263" s="26" t="s">
        <v>79</v>
      </c>
      <c r="E263" s="26" t="s">
        <v>80</v>
      </c>
      <c r="F263" s="26" t="s">
        <v>50</v>
      </c>
      <c r="G263" s="26" t="s">
        <v>57</v>
      </c>
      <c r="H263" s="27" t="s">
        <v>53</v>
      </c>
      <c r="I263" s="28" t="s">
        <v>65</v>
      </c>
      <c r="J263" s="28" t="s">
        <v>81</v>
      </c>
    </row>
    <row r="264" spans="1:12" x14ac:dyDescent="0.3">
      <c r="A264" s="774" t="s">
        <v>82</v>
      </c>
      <c r="B264" s="775"/>
      <c r="C264" s="775"/>
      <c r="D264" s="776"/>
      <c r="E264" s="107"/>
      <c r="F264" s="107"/>
      <c r="G264" s="107"/>
      <c r="H264" s="108"/>
      <c r="I264" s="107"/>
      <c r="J264" s="107"/>
    </row>
    <row r="265" spans="1:12" x14ac:dyDescent="0.3">
      <c r="A265" s="3">
        <v>1</v>
      </c>
      <c r="B265" s="3" t="s">
        <v>108</v>
      </c>
      <c r="C265" s="3"/>
      <c r="D265" s="3"/>
      <c r="E265" s="3"/>
      <c r="F265" s="3"/>
      <c r="G265" s="3"/>
      <c r="H265" s="16"/>
      <c r="I265" s="3"/>
      <c r="J265" s="3"/>
    </row>
    <row r="266" spans="1:12" x14ac:dyDescent="0.3">
      <c r="A266" s="3"/>
      <c r="B266" s="3" t="s">
        <v>84</v>
      </c>
      <c r="C266" s="3"/>
      <c r="D266" s="3" t="s">
        <v>85</v>
      </c>
      <c r="E266" s="3">
        <v>4</v>
      </c>
      <c r="F266" s="111">
        <v>15000</v>
      </c>
      <c r="G266" s="3">
        <v>6</v>
      </c>
      <c r="H266" s="16">
        <v>1</v>
      </c>
      <c r="I266" s="24">
        <f>E266*F266*G266*H266</f>
        <v>360000</v>
      </c>
      <c r="J266" s="112">
        <f>I266/54</f>
        <v>6666.666666666667</v>
      </c>
    </row>
    <row r="267" spans="1:12" x14ac:dyDescent="0.3">
      <c r="A267" s="3"/>
      <c r="B267" s="3" t="s">
        <v>86</v>
      </c>
      <c r="C267" s="3" t="s">
        <v>87</v>
      </c>
      <c r="D267" s="3"/>
      <c r="E267" s="3"/>
      <c r="F267" s="111"/>
      <c r="G267" s="3"/>
      <c r="H267" s="16"/>
      <c r="I267" s="3"/>
      <c r="J267" s="112">
        <f t="shared" ref="J267:J271" si="52">I267/54</f>
        <v>0</v>
      </c>
    </row>
    <row r="268" spans="1:12" x14ac:dyDescent="0.3">
      <c r="A268" s="3"/>
      <c r="B268" s="3"/>
      <c r="C268" s="3" t="s">
        <v>88</v>
      </c>
      <c r="D268" s="3"/>
      <c r="E268" s="79">
        <v>4</v>
      </c>
      <c r="F268" s="111">
        <v>20000</v>
      </c>
      <c r="G268" s="3">
        <v>1</v>
      </c>
      <c r="H268" s="16">
        <v>1</v>
      </c>
      <c r="I268" s="24">
        <f>E268*F268*G268*H268</f>
        <v>80000</v>
      </c>
      <c r="J268" s="112">
        <f t="shared" si="52"/>
        <v>1481.4814814814815</v>
      </c>
    </row>
    <row r="269" spans="1:12" x14ac:dyDescent="0.3">
      <c r="A269" s="3"/>
      <c r="B269" s="3"/>
      <c r="C269" s="3" t="s">
        <v>89</v>
      </c>
      <c r="D269" s="3"/>
      <c r="E269" s="79">
        <v>4</v>
      </c>
      <c r="F269" s="111">
        <v>2500</v>
      </c>
      <c r="G269" s="3">
        <v>6</v>
      </c>
      <c r="H269" s="16">
        <v>1</v>
      </c>
      <c r="I269" s="24">
        <f>E269*F269*G269*H269</f>
        <v>60000</v>
      </c>
      <c r="J269" s="112">
        <f t="shared" si="52"/>
        <v>1111.1111111111111</v>
      </c>
    </row>
    <row r="270" spans="1:12" x14ac:dyDescent="0.3">
      <c r="A270" s="3"/>
      <c r="B270" s="3"/>
      <c r="C270" s="3" t="s">
        <v>90</v>
      </c>
      <c r="D270" s="3"/>
      <c r="E270" s="79">
        <v>4</v>
      </c>
      <c r="F270" s="111">
        <v>10000</v>
      </c>
      <c r="G270" s="3">
        <v>6</v>
      </c>
      <c r="H270" s="16">
        <v>1</v>
      </c>
      <c r="I270" s="24">
        <f>E270*F270*G270*H270</f>
        <v>240000</v>
      </c>
      <c r="J270" s="112">
        <f t="shared" si="52"/>
        <v>4444.4444444444443</v>
      </c>
    </row>
    <row r="271" spans="1:12" x14ac:dyDescent="0.3">
      <c r="A271" s="3"/>
      <c r="B271" s="3"/>
      <c r="C271" s="3"/>
      <c r="D271" s="82" t="s">
        <v>10</v>
      </c>
      <c r="E271" s="82"/>
      <c r="F271" s="122"/>
      <c r="G271" s="82"/>
      <c r="H271" s="123"/>
      <c r="I271" s="121">
        <f>SUM(I266:I270)</f>
        <v>740000</v>
      </c>
      <c r="J271" s="121">
        <f t="shared" si="52"/>
        <v>13703.703703703704</v>
      </c>
    </row>
    <row r="272" spans="1:12" x14ac:dyDescent="0.3">
      <c r="A272" s="96"/>
      <c r="B272" s="96"/>
      <c r="C272" s="96"/>
      <c r="D272" s="96"/>
      <c r="E272" s="96"/>
      <c r="F272" s="124"/>
      <c r="G272" s="96"/>
      <c r="H272" s="125"/>
      <c r="I272" s="126"/>
      <c r="J272" s="96"/>
    </row>
    <row r="273" spans="1:11" x14ac:dyDescent="0.3">
      <c r="A273" s="769" t="s">
        <v>91</v>
      </c>
      <c r="B273" s="770"/>
      <c r="C273" s="770"/>
      <c r="D273" s="771"/>
      <c r="E273" s="127"/>
      <c r="F273" s="128"/>
      <c r="G273" s="127"/>
      <c r="H273" s="129"/>
      <c r="I273" s="127"/>
      <c r="J273" s="127"/>
    </row>
    <row r="274" spans="1:11" x14ac:dyDescent="0.3">
      <c r="A274" s="3"/>
      <c r="B274" s="3" t="s">
        <v>92</v>
      </c>
      <c r="C274" s="3" t="s">
        <v>93</v>
      </c>
      <c r="D274" s="3"/>
      <c r="E274" s="3">
        <v>40</v>
      </c>
      <c r="F274" s="111">
        <v>2000</v>
      </c>
      <c r="G274" s="3">
        <v>5</v>
      </c>
      <c r="H274" s="16">
        <v>1</v>
      </c>
      <c r="I274" s="24">
        <f t="shared" ref="I274:I281" si="53">E274*F274*G274*H274</f>
        <v>400000</v>
      </c>
      <c r="J274" s="24">
        <f>I274/54</f>
        <v>7407.4074074074078</v>
      </c>
    </row>
    <row r="275" spans="1:11" x14ac:dyDescent="0.3">
      <c r="A275" s="3"/>
      <c r="B275" s="3" t="s">
        <v>86</v>
      </c>
      <c r="C275" s="3" t="s">
        <v>94</v>
      </c>
      <c r="D275" s="3" t="s">
        <v>110</v>
      </c>
      <c r="E275" s="3">
        <v>30</v>
      </c>
      <c r="F275" s="111">
        <v>20000</v>
      </c>
      <c r="G275" s="3">
        <v>1</v>
      </c>
      <c r="H275" s="16">
        <v>1</v>
      </c>
      <c r="I275" s="24">
        <f t="shared" si="53"/>
        <v>600000</v>
      </c>
      <c r="J275" s="24">
        <f t="shared" ref="J275:J282" si="54">I275/54</f>
        <v>11111.111111111111</v>
      </c>
    </row>
    <row r="276" spans="1:11" x14ac:dyDescent="0.3">
      <c r="A276" s="3"/>
      <c r="B276" s="3" t="s">
        <v>95</v>
      </c>
      <c r="C276" s="3" t="s">
        <v>96</v>
      </c>
      <c r="D276" s="3" t="s">
        <v>110</v>
      </c>
      <c r="E276" s="3">
        <v>30</v>
      </c>
      <c r="F276" s="111">
        <v>10000</v>
      </c>
      <c r="G276" s="3">
        <v>5</v>
      </c>
      <c r="H276" s="16">
        <v>1</v>
      </c>
      <c r="I276" s="24">
        <f t="shared" si="53"/>
        <v>1500000</v>
      </c>
      <c r="J276" s="24">
        <f t="shared" si="54"/>
        <v>27777.777777777777</v>
      </c>
    </row>
    <row r="277" spans="1:11" x14ac:dyDescent="0.3">
      <c r="A277" s="3"/>
      <c r="B277" s="3" t="s">
        <v>97</v>
      </c>
      <c r="C277" s="3" t="s">
        <v>171</v>
      </c>
      <c r="D277" s="3" t="s">
        <v>172</v>
      </c>
      <c r="E277" s="3">
        <v>40</v>
      </c>
      <c r="F277" s="111">
        <v>2500</v>
      </c>
      <c r="G277" s="3">
        <v>5</v>
      </c>
      <c r="H277" s="16">
        <v>1</v>
      </c>
      <c r="I277" s="24">
        <f t="shared" si="53"/>
        <v>500000</v>
      </c>
      <c r="J277" s="24">
        <f t="shared" si="54"/>
        <v>9259.2592592592591</v>
      </c>
    </row>
    <row r="278" spans="1:11" x14ac:dyDescent="0.3">
      <c r="A278" s="3"/>
      <c r="B278" s="3" t="s">
        <v>99</v>
      </c>
      <c r="C278" s="3" t="s">
        <v>100</v>
      </c>
      <c r="D278" s="3"/>
      <c r="E278" s="3">
        <v>1</v>
      </c>
      <c r="F278" s="111">
        <v>45000</v>
      </c>
      <c r="G278" s="3">
        <v>5</v>
      </c>
      <c r="H278" s="16">
        <v>1</v>
      </c>
      <c r="I278" s="24">
        <f t="shared" si="53"/>
        <v>225000</v>
      </c>
      <c r="J278" s="24">
        <f t="shared" si="54"/>
        <v>4166.666666666667</v>
      </c>
    </row>
    <row r="279" spans="1:11" x14ac:dyDescent="0.3">
      <c r="A279" s="3"/>
      <c r="B279" s="3" t="s">
        <v>101</v>
      </c>
      <c r="C279" s="3" t="s">
        <v>102</v>
      </c>
      <c r="D279" s="3"/>
      <c r="E279" s="3">
        <v>1</v>
      </c>
      <c r="F279" s="111">
        <v>25000</v>
      </c>
      <c r="G279" s="3">
        <v>5</v>
      </c>
      <c r="H279" s="16">
        <v>1</v>
      </c>
      <c r="I279" s="24">
        <f t="shared" si="53"/>
        <v>125000</v>
      </c>
      <c r="J279" s="24">
        <f t="shared" si="54"/>
        <v>2314.8148148148148</v>
      </c>
    </row>
    <row r="280" spans="1:11" x14ac:dyDescent="0.3">
      <c r="A280" s="3"/>
      <c r="B280" s="3" t="s">
        <v>103</v>
      </c>
      <c r="C280" s="3" t="s">
        <v>104</v>
      </c>
      <c r="D280" s="3" t="s">
        <v>105</v>
      </c>
      <c r="E280" s="3">
        <v>1</v>
      </c>
      <c r="F280" s="111">
        <v>25000</v>
      </c>
      <c r="G280" s="3">
        <v>5</v>
      </c>
      <c r="H280" s="16">
        <v>1</v>
      </c>
      <c r="I280" s="24">
        <f t="shared" si="53"/>
        <v>125000</v>
      </c>
      <c r="J280" s="24">
        <f t="shared" si="54"/>
        <v>2314.8148148148148</v>
      </c>
    </row>
    <row r="281" spans="1:11" x14ac:dyDescent="0.3">
      <c r="A281" s="3"/>
      <c r="B281" s="3" t="s">
        <v>106</v>
      </c>
      <c r="C281" s="3" t="s">
        <v>107</v>
      </c>
      <c r="D281" s="3"/>
      <c r="E281" s="3">
        <v>40</v>
      </c>
      <c r="F281" s="111">
        <v>500</v>
      </c>
      <c r="G281" s="3">
        <v>5</v>
      </c>
      <c r="H281" s="16">
        <v>1</v>
      </c>
      <c r="I281" s="24">
        <f t="shared" si="53"/>
        <v>100000</v>
      </c>
      <c r="J281" s="24">
        <f t="shared" si="54"/>
        <v>1851.851851851852</v>
      </c>
    </row>
    <row r="282" spans="1:11" x14ac:dyDescent="0.3">
      <c r="A282" s="3"/>
      <c r="B282" s="3"/>
      <c r="C282" s="3"/>
      <c r="D282" s="82" t="s">
        <v>10</v>
      </c>
      <c r="E282" s="82"/>
      <c r="F282" s="122"/>
      <c r="G282" s="82"/>
      <c r="H282" s="123"/>
      <c r="I282" s="121">
        <f>SUM(I274:I281)</f>
        <v>3575000</v>
      </c>
      <c r="J282" s="121">
        <f t="shared" si="54"/>
        <v>66203.703703703708</v>
      </c>
    </row>
    <row r="283" spans="1:11" x14ac:dyDescent="0.3">
      <c r="A283" s="3"/>
      <c r="B283" s="3"/>
      <c r="C283" s="3"/>
      <c r="D283" s="3"/>
      <c r="E283" s="3"/>
      <c r="F283" s="3"/>
      <c r="G283" s="3"/>
      <c r="H283" s="16"/>
      <c r="I283" s="3"/>
      <c r="J283" s="3"/>
    </row>
    <row r="284" spans="1:11" x14ac:dyDescent="0.3">
      <c r="A284" s="3"/>
      <c r="B284" s="3"/>
      <c r="C284" s="3"/>
      <c r="D284" s="83" t="s">
        <v>19</v>
      </c>
      <c r="E284" s="83"/>
      <c r="F284" s="83"/>
      <c r="G284" s="83"/>
      <c r="H284" s="131"/>
      <c r="I284" s="132">
        <f>I271+I282</f>
        <v>4315000</v>
      </c>
      <c r="J284" s="132">
        <f>J271+J282</f>
        <v>79907.407407407416</v>
      </c>
      <c r="K284" s="33">
        <f>I284/40</f>
        <v>107875</v>
      </c>
    </row>
  </sheetData>
  <mergeCells count="56">
    <mergeCell ref="C21:J21"/>
    <mergeCell ref="B8:J8"/>
    <mergeCell ref="L9:O9"/>
    <mergeCell ref="C11:J11"/>
    <mergeCell ref="C12:J12"/>
    <mergeCell ref="C13:J13"/>
    <mergeCell ref="C14:J14"/>
    <mergeCell ref="C15:J15"/>
    <mergeCell ref="C16:J16"/>
    <mergeCell ref="C17:J17"/>
    <mergeCell ref="C19:J19"/>
    <mergeCell ref="C20:J20"/>
    <mergeCell ref="C28:J28"/>
    <mergeCell ref="C29:J29"/>
    <mergeCell ref="C30:J30"/>
    <mergeCell ref="C31:J31"/>
    <mergeCell ref="C32:J32"/>
    <mergeCell ref="C22:J22"/>
    <mergeCell ref="C23:J23"/>
    <mergeCell ref="C25:J25"/>
    <mergeCell ref="C26:J26"/>
    <mergeCell ref="C27:J27"/>
    <mergeCell ref="L34:O34"/>
    <mergeCell ref="A109:J109"/>
    <mergeCell ref="L44:O44"/>
    <mergeCell ref="B45:J45"/>
    <mergeCell ref="L52:O52"/>
    <mergeCell ref="B53:J53"/>
    <mergeCell ref="B64:J64"/>
    <mergeCell ref="L64:O64"/>
    <mergeCell ref="B76:J76"/>
    <mergeCell ref="N76:T82"/>
    <mergeCell ref="A78:J78"/>
    <mergeCell ref="A80:D80"/>
    <mergeCell ref="A89:D89"/>
    <mergeCell ref="B35:J35"/>
    <mergeCell ref="A214:J214"/>
    <mergeCell ref="A111:D111"/>
    <mergeCell ref="A120:D120"/>
    <mergeCell ref="A142:J142"/>
    <mergeCell ref="A144:D144"/>
    <mergeCell ref="A153:D153"/>
    <mergeCell ref="A166:J166"/>
    <mergeCell ref="A168:D168"/>
    <mergeCell ref="A177:D177"/>
    <mergeCell ref="A190:J190"/>
    <mergeCell ref="A192:D192"/>
    <mergeCell ref="A201:D201"/>
    <mergeCell ref="A264:D264"/>
    <mergeCell ref="A273:D273"/>
    <mergeCell ref="A216:D216"/>
    <mergeCell ref="A225:D225"/>
    <mergeCell ref="A238:J238"/>
    <mergeCell ref="A240:D240"/>
    <mergeCell ref="A249:D249"/>
    <mergeCell ref="A262:J262"/>
  </mergeCells>
  <pageMargins left="0.7" right="0.7" top="0.75" bottom="0.75" header="0.3" footer="0.3"/>
  <pageSetup scale="3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U77"/>
  <sheetViews>
    <sheetView view="pageBreakPreview" zoomScale="60" zoomScaleNormal="40" workbookViewId="0">
      <selection activeCell="L36" sqref="L36:O36"/>
    </sheetView>
  </sheetViews>
  <sheetFormatPr defaultColWidth="10.109375" defaultRowHeight="14.4" x14ac:dyDescent="0.3"/>
  <cols>
    <col min="1" max="1" width="3.109375" style="1" customWidth="1"/>
    <col min="2" max="2" width="6.109375" style="1" customWidth="1"/>
    <col min="3" max="3" width="69.88671875" style="1" customWidth="1"/>
    <col min="4" max="5" width="14.33203125" style="1" bestFit="1" customWidth="1"/>
    <col min="6" max="6" width="16.44140625" style="1" customWidth="1"/>
    <col min="7" max="7" width="15" style="1" bestFit="1" customWidth="1"/>
    <col min="8" max="8" width="14.5546875" style="1" bestFit="1" customWidth="1"/>
    <col min="9" max="9" width="16.33203125" style="1" customWidth="1"/>
    <col min="10" max="10" width="12.33203125" style="1" bestFit="1" customWidth="1"/>
    <col min="11" max="11" width="3" style="1" customWidth="1"/>
    <col min="12" max="14" width="12.33203125" style="1" bestFit="1" customWidth="1"/>
    <col min="15" max="15" width="13.88671875" style="1" bestFit="1" customWidth="1"/>
    <col min="16" max="16" width="13.5546875" style="1" bestFit="1" customWidth="1"/>
    <col min="17" max="18" width="13.44140625" style="1" bestFit="1" customWidth="1"/>
    <col min="19" max="19" width="14" style="1" bestFit="1" customWidth="1"/>
    <col min="20" max="16384" width="10.109375" style="1"/>
  </cols>
  <sheetData>
    <row r="2" spans="2:19" x14ac:dyDescent="0.3">
      <c r="B2" s="48">
        <v>1.5</v>
      </c>
      <c r="C2" s="65" t="s">
        <v>222</v>
      </c>
      <c r="D2" s="62" t="s">
        <v>26</v>
      </c>
      <c r="E2" s="62" t="s">
        <v>27</v>
      </c>
      <c r="F2" s="62" t="s">
        <v>28</v>
      </c>
      <c r="G2" s="62" t="s">
        <v>9</v>
      </c>
    </row>
    <row r="3" spans="2:19" x14ac:dyDescent="0.3">
      <c r="B3" s="51" t="s">
        <v>552</v>
      </c>
      <c r="C3" s="66" t="s">
        <v>553</v>
      </c>
      <c r="D3" s="67">
        <f>P35</f>
        <v>1903703.7037037038</v>
      </c>
      <c r="E3" s="67">
        <f t="shared" ref="E3:F3" si="0">Q35</f>
        <v>38888.888888888891</v>
      </c>
      <c r="F3" s="67">
        <f t="shared" si="0"/>
        <v>44444.444444444445</v>
      </c>
      <c r="G3" s="67">
        <f>D3+E3+F3</f>
        <v>1987037.0370370373</v>
      </c>
    </row>
    <row r="4" spans="2:19" x14ac:dyDescent="0.3">
      <c r="B4" s="51" t="s">
        <v>554</v>
      </c>
      <c r="C4" s="66" t="s">
        <v>555</v>
      </c>
      <c r="D4" s="67">
        <f>P44</f>
        <v>1302222.2222222222</v>
      </c>
      <c r="E4" s="67">
        <f t="shared" ref="E4:F4" si="1">Q44</f>
        <v>200000</v>
      </c>
      <c r="F4" s="67">
        <f t="shared" si="1"/>
        <v>200000</v>
      </c>
      <c r="G4" s="67">
        <f t="shared" ref="G4" si="2">D4+E4+F4</f>
        <v>1702222.2222222222</v>
      </c>
    </row>
    <row r="5" spans="2:19" x14ac:dyDescent="0.3">
      <c r="B5" s="51"/>
      <c r="C5" s="68" t="s">
        <v>10</v>
      </c>
      <c r="D5" s="69">
        <f>D3+D4</f>
        <v>3205925.9259259263</v>
      </c>
      <c r="E5" s="69">
        <f t="shared" ref="E5:G5" si="3">E3+E4</f>
        <v>238888.88888888888</v>
      </c>
      <c r="F5" s="69">
        <f t="shared" si="3"/>
        <v>244444.44444444444</v>
      </c>
      <c r="G5" s="69">
        <f t="shared" si="3"/>
        <v>3689259.2592592593</v>
      </c>
    </row>
    <row r="6" spans="2:19" x14ac:dyDescent="0.3">
      <c r="B6" s="70"/>
      <c r="C6" s="71"/>
      <c r="D6" s="72"/>
      <c r="E6" s="72"/>
      <c r="F6" s="72"/>
      <c r="G6" s="72"/>
    </row>
    <row r="7" spans="2:19" ht="15.75" customHeight="1" x14ac:dyDescent="0.3">
      <c r="B7" s="784" t="s">
        <v>34</v>
      </c>
      <c r="C7" s="785"/>
      <c r="D7" s="785"/>
      <c r="E7" s="785"/>
      <c r="F7" s="785"/>
      <c r="G7" s="785"/>
      <c r="H7" s="785"/>
      <c r="I7" s="785"/>
      <c r="J7" s="786"/>
    </row>
    <row r="8" spans="2:19" x14ac:dyDescent="0.3">
      <c r="B8" s="51"/>
      <c r="C8" s="73"/>
      <c r="D8" s="74"/>
      <c r="E8" s="74"/>
      <c r="F8" s="74"/>
      <c r="G8" s="74"/>
      <c r="H8" s="3"/>
      <c r="I8" s="3"/>
      <c r="J8" s="3"/>
      <c r="K8" s="3"/>
      <c r="L8" s="782" t="s">
        <v>26</v>
      </c>
      <c r="M8" s="782"/>
      <c r="N8" s="782"/>
      <c r="O8" s="782"/>
      <c r="P8" s="136" t="s">
        <v>26</v>
      </c>
      <c r="Q8" s="137" t="s">
        <v>27</v>
      </c>
      <c r="R8" s="137" t="s">
        <v>28</v>
      </c>
      <c r="S8" s="76" t="s">
        <v>9</v>
      </c>
    </row>
    <row r="9" spans="2:19" x14ac:dyDescent="0.3">
      <c r="B9" s="78"/>
      <c r="C9" s="73"/>
      <c r="D9" s="74"/>
      <c r="E9" s="74"/>
      <c r="F9" s="74"/>
      <c r="G9" s="74"/>
      <c r="H9" s="79"/>
      <c r="I9" s="3"/>
      <c r="J9" s="3"/>
      <c r="K9" s="3"/>
      <c r="L9" s="80" t="s">
        <v>36</v>
      </c>
      <c r="M9" s="80" t="s">
        <v>37</v>
      </c>
      <c r="N9" s="80" t="s">
        <v>38</v>
      </c>
      <c r="O9" s="80" t="s">
        <v>39</v>
      </c>
      <c r="P9" s="136" t="s">
        <v>9</v>
      </c>
      <c r="Q9" s="137" t="s">
        <v>9</v>
      </c>
      <c r="R9" s="137" t="s">
        <v>9</v>
      </c>
      <c r="S9" s="76"/>
    </row>
    <row r="10" spans="2:19" ht="20.100000000000001" customHeight="1" x14ac:dyDescent="0.3">
      <c r="B10" s="78"/>
      <c r="C10" s="795" t="str">
        <f>B27</f>
        <v>1.5.1 Build Institutional Capacity of the NCCVMRC</v>
      </c>
      <c r="D10" s="796"/>
      <c r="E10" s="796"/>
      <c r="F10" s="796"/>
      <c r="G10" s="796"/>
      <c r="H10" s="796"/>
      <c r="I10" s="796"/>
      <c r="J10" s="797"/>
      <c r="K10" s="3"/>
      <c r="L10" s="3"/>
      <c r="M10" s="3"/>
      <c r="N10" s="3"/>
      <c r="O10" s="3"/>
      <c r="P10" s="8"/>
      <c r="Q10" s="8"/>
      <c r="R10" s="8"/>
      <c r="S10" s="177"/>
    </row>
    <row r="11" spans="2:19" ht="20.100000000000001" customHeight="1" x14ac:dyDescent="0.3">
      <c r="B11" s="78">
        <v>1</v>
      </c>
      <c r="C11" s="787" t="str">
        <f>C29</f>
        <v>Walk in Cooler (WIC) / Walk in Freezer (WIF)</v>
      </c>
      <c r="D11" s="788"/>
      <c r="E11" s="788"/>
      <c r="F11" s="788"/>
      <c r="G11" s="788"/>
      <c r="H11" s="788"/>
      <c r="I11" s="788"/>
      <c r="J11" s="789"/>
      <c r="K11" s="3"/>
      <c r="L11" s="3"/>
      <c r="M11" s="3"/>
      <c r="N11" s="3"/>
      <c r="O11" s="3">
        <v>15</v>
      </c>
      <c r="P11" s="8">
        <v>15</v>
      </c>
      <c r="R11" s="8"/>
      <c r="S11" s="177">
        <v>15</v>
      </c>
    </row>
    <row r="12" spans="2:19" ht="20.100000000000001" customHeight="1" x14ac:dyDescent="0.3">
      <c r="B12" s="78">
        <v>2</v>
      </c>
      <c r="C12" s="787" t="str">
        <f t="shared" ref="C12:C16" si="4">C30</f>
        <v>Installation cost for WIC/WIF as per UNICEF Long Term Agreement (LTA) @ INR 300,000 each</v>
      </c>
      <c r="D12" s="788"/>
      <c r="E12" s="788"/>
      <c r="F12" s="788"/>
      <c r="G12" s="788"/>
      <c r="H12" s="788"/>
      <c r="I12" s="788"/>
      <c r="J12" s="789"/>
      <c r="K12" s="3"/>
      <c r="L12" s="3"/>
      <c r="M12" s="3"/>
      <c r="N12" s="3"/>
      <c r="O12" s="3"/>
      <c r="P12" s="8"/>
      <c r="Q12" s="8">
        <v>7</v>
      </c>
      <c r="R12" s="8">
        <v>8</v>
      </c>
      <c r="S12" s="177">
        <v>15</v>
      </c>
    </row>
    <row r="13" spans="2:19" ht="20.100000000000001" customHeight="1" x14ac:dyDescent="0.3">
      <c r="B13" s="78">
        <v>3</v>
      </c>
      <c r="C13" s="787" t="str">
        <f t="shared" si="4"/>
        <v>Ice-Lined Refrigerators (ILRs) / Deep Freezers (DFs) (400)</v>
      </c>
      <c r="D13" s="788"/>
      <c r="E13" s="788"/>
      <c r="F13" s="788"/>
      <c r="G13" s="788"/>
      <c r="H13" s="788"/>
      <c r="I13" s="788"/>
      <c r="J13" s="789"/>
      <c r="K13" s="3"/>
      <c r="L13" s="3"/>
      <c r="M13" s="3"/>
      <c r="N13" s="3"/>
      <c r="O13" s="3">
        <v>400</v>
      </c>
      <c r="P13" s="8">
        <v>400</v>
      </c>
      <c r="R13" s="8"/>
      <c r="S13" s="177">
        <v>400</v>
      </c>
    </row>
    <row r="14" spans="2:19" ht="20.100000000000001" customHeight="1" x14ac:dyDescent="0.3">
      <c r="B14" s="78">
        <v>4</v>
      </c>
      <c r="C14" s="787" t="str">
        <f t="shared" si="4"/>
        <v>Solar Powered ILRs/ Combined units (150)</v>
      </c>
      <c r="D14" s="788"/>
      <c r="E14" s="788"/>
      <c r="F14" s="788"/>
      <c r="G14" s="788"/>
      <c r="H14" s="788"/>
      <c r="I14" s="788"/>
      <c r="J14" s="789"/>
      <c r="K14" s="3"/>
      <c r="L14" s="3"/>
      <c r="M14" s="3"/>
      <c r="N14" s="3"/>
      <c r="O14" s="3">
        <v>150</v>
      </c>
      <c r="P14" s="8">
        <v>150</v>
      </c>
      <c r="R14" s="8"/>
      <c r="S14" s="177">
        <v>150</v>
      </c>
    </row>
    <row r="15" spans="2:19" ht="20.100000000000001" customHeight="1" x14ac:dyDescent="0.3">
      <c r="B15" s="78">
        <v>5</v>
      </c>
      <c r="C15" s="787" t="str">
        <f t="shared" si="4"/>
        <v>Wireless Temperature Monitoring Devices (US$ 100,000) for 50 Cold Rooms.</v>
      </c>
      <c r="D15" s="788"/>
      <c r="E15" s="788"/>
      <c r="F15" s="788"/>
      <c r="G15" s="788"/>
      <c r="H15" s="788"/>
      <c r="I15" s="788"/>
      <c r="J15" s="789"/>
      <c r="K15" s="3"/>
      <c r="L15" s="3"/>
      <c r="M15" s="3"/>
      <c r="N15" s="3"/>
      <c r="O15" s="3">
        <v>50</v>
      </c>
      <c r="P15" s="8">
        <v>50</v>
      </c>
      <c r="R15" s="8"/>
      <c r="S15" s="177">
        <v>50</v>
      </c>
    </row>
    <row r="16" spans="2:19" ht="20.100000000000001" customHeight="1" x14ac:dyDescent="0.3">
      <c r="B16" s="78">
        <v>6</v>
      </c>
      <c r="C16" s="787" t="str">
        <f t="shared" si="4"/>
        <v>Dataloggers (USB, WHO PQS) for assessments and studies.</v>
      </c>
      <c r="D16" s="788"/>
      <c r="E16" s="788"/>
      <c r="F16" s="788"/>
      <c r="G16" s="788"/>
      <c r="H16" s="788"/>
      <c r="I16" s="788"/>
      <c r="J16" s="789"/>
      <c r="K16" s="3"/>
      <c r="L16" s="3"/>
      <c r="M16" s="3"/>
      <c r="N16" s="3"/>
      <c r="O16" s="3">
        <v>1000</v>
      </c>
      <c r="P16" s="8">
        <v>1000</v>
      </c>
      <c r="Q16" s="8"/>
      <c r="R16" s="8"/>
      <c r="S16" s="177">
        <v>1000</v>
      </c>
    </row>
    <row r="17" spans="2:21" ht="20.100000000000001" customHeight="1" x14ac:dyDescent="0.3">
      <c r="B17" s="154"/>
      <c r="C17" s="68"/>
      <c r="D17" s="178"/>
      <c r="E17" s="178"/>
      <c r="F17" s="178"/>
      <c r="G17" s="178"/>
      <c r="H17" s="179"/>
      <c r="I17" s="179"/>
      <c r="J17" s="179"/>
      <c r="K17" s="18"/>
      <c r="L17" s="18"/>
      <c r="M17" s="18"/>
      <c r="N17" s="18"/>
      <c r="O17" s="18"/>
      <c r="P17" s="116"/>
      <c r="Q17" s="116"/>
      <c r="R17" s="116"/>
      <c r="S17" s="116"/>
    </row>
    <row r="18" spans="2:21" ht="20.100000000000001" customHeight="1" x14ac:dyDescent="0.3">
      <c r="B18" s="78"/>
      <c r="C18" s="795" t="str">
        <f>B37</f>
        <v>1.5.2 Improve / operationalise existing cold chain equipment &amp; reduce sickness rate.</v>
      </c>
      <c r="D18" s="796"/>
      <c r="E18" s="796"/>
      <c r="F18" s="796"/>
      <c r="G18" s="796"/>
      <c r="H18" s="796"/>
      <c r="I18" s="796"/>
      <c r="J18" s="797"/>
      <c r="K18" s="3"/>
      <c r="L18" s="3"/>
      <c r="M18" s="3"/>
      <c r="N18" s="3"/>
      <c r="O18" s="3"/>
      <c r="P18" s="8"/>
      <c r="Q18" s="8"/>
      <c r="R18" s="8"/>
      <c r="S18" s="177"/>
    </row>
    <row r="19" spans="2:21" ht="20.100000000000001" customHeight="1" x14ac:dyDescent="0.3">
      <c r="B19" s="78">
        <v>1</v>
      </c>
      <c r="C19" s="787" t="str">
        <f>C39</f>
        <v>WIC/WIF spares for 3 GMSDs (US@80,000 per GMSD considering increase in price from 2010. 2010 pricelist enclosed)</v>
      </c>
      <c r="D19" s="788"/>
      <c r="E19" s="788"/>
      <c r="F19" s="788"/>
      <c r="G19" s="788"/>
      <c r="H19" s="788"/>
      <c r="I19" s="788"/>
      <c r="J19" s="789"/>
      <c r="K19" s="3"/>
      <c r="L19" s="3"/>
      <c r="M19" s="3"/>
      <c r="N19" s="3"/>
      <c r="O19" s="3">
        <v>3</v>
      </c>
      <c r="P19" s="8"/>
      <c r="Q19" s="8"/>
      <c r="R19" s="8"/>
      <c r="S19" s="177">
        <v>3</v>
      </c>
    </row>
    <row r="20" spans="2:21" ht="20.100000000000001" customHeight="1" x14ac:dyDescent="0.3">
      <c r="B20" s="78">
        <v>2</v>
      </c>
      <c r="C20" s="787" t="str">
        <f t="shared" ref="C20:C23" si="5">C40</f>
        <v>ILR/DF spares for 2 GMSDs (US$200,000 per GMSD considering increase in price from 2010. 2010 pricelist enclosed)</v>
      </c>
      <c r="D20" s="788"/>
      <c r="E20" s="788"/>
      <c r="F20" s="788"/>
      <c r="G20" s="788"/>
      <c r="H20" s="788"/>
      <c r="I20" s="788"/>
      <c r="J20" s="789"/>
      <c r="K20" s="3"/>
      <c r="L20" s="3"/>
      <c r="M20" s="3"/>
      <c r="N20" s="3"/>
      <c r="O20" s="3">
        <v>2</v>
      </c>
      <c r="P20" s="8"/>
      <c r="Q20" s="8"/>
      <c r="R20" s="8"/>
      <c r="S20" s="177">
        <v>2</v>
      </c>
    </row>
    <row r="21" spans="2:21" ht="20.100000000000001" customHeight="1" x14ac:dyDescent="0.3">
      <c r="B21" s="78">
        <v>3</v>
      </c>
      <c r="C21" s="787" t="str">
        <f t="shared" si="5"/>
        <v>Toolkit (District level) for Cold Chain Technicians (List enclosed)</v>
      </c>
      <c r="D21" s="788"/>
      <c r="E21" s="788"/>
      <c r="F21" s="788"/>
      <c r="G21" s="788"/>
      <c r="H21" s="788"/>
      <c r="I21" s="788"/>
      <c r="J21" s="789"/>
      <c r="K21" s="3"/>
      <c r="L21" s="618"/>
      <c r="M21" s="618"/>
      <c r="N21" s="618"/>
      <c r="O21" s="618">
        <v>100</v>
      </c>
      <c r="P21" s="621"/>
      <c r="Q21" s="621"/>
      <c r="R21" s="621"/>
      <c r="S21" s="647">
        <v>100</v>
      </c>
      <c r="T21" s="635"/>
      <c r="U21" s="635"/>
    </row>
    <row r="22" spans="2:21" ht="20.100000000000001" customHeight="1" x14ac:dyDescent="0.3">
      <c r="B22" s="78">
        <v>4</v>
      </c>
      <c r="C22" s="787" t="str">
        <f t="shared" si="5"/>
        <v>Spare parts for solar combined devices (Tentatively, for 3 GMSDs, for charge controllers, panels, battery, compressors, starting device.)</v>
      </c>
      <c r="D22" s="788"/>
      <c r="E22" s="788"/>
      <c r="F22" s="788"/>
      <c r="G22" s="788"/>
      <c r="H22" s="788"/>
      <c r="I22" s="788"/>
      <c r="J22" s="789"/>
      <c r="K22" s="3"/>
      <c r="L22" s="618"/>
      <c r="M22" s="618"/>
      <c r="N22" s="618"/>
      <c r="O22" s="618">
        <v>3</v>
      </c>
      <c r="P22" s="621"/>
      <c r="Q22" s="621"/>
      <c r="R22" s="621"/>
      <c r="S22" s="647">
        <v>3</v>
      </c>
      <c r="T22" s="635"/>
      <c r="U22" s="635"/>
    </row>
    <row r="23" spans="2:21" ht="20.100000000000001" customHeight="1" x14ac:dyDescent="0.3">
      <c r="B23" s="78">
        <v>5</v>
      </c>
      <c r="C23" s="787" t="str">
        <f t="shared" si="5"/>
        <v>Partnership with technical-academic institutes for research &amp; improvement in performance, safety, reliability and energy efficiency of cold chain equipment and system.</v>
      </c>
      <c r="D23" s="788"/>
      <c r="E23" s="788"/>
      <c r="F23" s="788"/>
      <c r="G23" s="788"/>
      <c r="H23" s="788"/>
      <c r="I23" s="788"/>
      <c r="J23" s="789"/>
      <c r="K23" s="3"/>
      <c r="L23" s="618"/>
      <c r="M23" s="618"/>
      <c r="N23" s="618">
        <v>1</v>
      </c>
      <c r="O23" s="618"/>
      <c r="P23" s="621">
        <v>1</v>
      </c>
      <c r="Q23" s="621">
        <v>1</v>
      </c>
      <c r="R23" s="621">
        <v>1</v>
      </c>
      <c r="S23" s="647">
        <v>3</v>
      </c>
      <c r="T23" s="635"/>
      <c r="U23" s="635"/>
    </row>
    <row r="24" spans="2:21" x14ac:dyDescent="0.3">
      <c r="B24" s="78"/>
      <c r="C24" s="180"/>
      <c r="D24" s="74"/>
      <c r="E24" s="74"/>
      <c r="F24" s="74"/>
      <c r="G24" s="74"/>
      <c r="H24" s="79"/>
      <c r="I24" s="3"/>
      <c r="J24" s="3"/>
      <c r="K24" s="3"/>
      <c r="L24" s="618"/>
      <c r="M24" s="618"/>
      <c r="N24" s="618"/>
      <c r="O24" s="618"/>
      <c r="P24" s="621"/>
      <c r="Q24" s="621"/>
      <c r="R24" s="621"/>
      <c r="S24" s="647"/>
      <c r="T24" s="635"/>
      <c r="U24" s="635"/>
    </row>
    <row r="25" spans="2:21" x14ac:dyDescent="0.3">
      <c r="L25" s="635"/>
      <c r="M25" s="635"/>
      <c r="N25" s="635"/>
      <c r="O25" s="635"/>
      <c r="P25" s="648"/>
      <c r="Q25" s="648"/>
      <c r="R25" s="648"/>
      <c r="S25" s="648"/>
      <c r="T25" s="635"/>
      <c r="U25" s="635"/>
    </row>
    <row r="26" spans="2:21" s="2" customFormat="1" x14ac:dyDescent="0.3">
      <c r="L26" s="811" t="s">
        <v>26</v>
      </c>
      <c r="M26" s="812"/>
      <c r="N26" s="812"/>
      <c r="O26" s="813"/>
      <c r="P26" s="649" t="str">
        <f>P8</f>
        <v>Year 1</v>
      </c>
      <c r="Q26" s="650" t="s">
        <v>27</v>
      </c>
      <c r="R26" s="650" t="s">
        <v>28</v>
      </c>
      <c r="S26" s="651" t="s">
        <v>9</v>
      </c>
      <c r="T26" s="648"/>
      <c r="U26" s="648"/>
    </row>
    <row r="27" spans="2:21" x14ac:dyDescent="0.3">
      <c r="B27" s="772" t="s">
        <v>556</v>
      </c>
      <c r="C27" s="773"/>
      <c r="D27" s="773"/>
      <c r="E27" s="773"/>
      <c r="F27" s="773"/>
      <c r="G27" s="773"/>
      <c r="H27" s="773"/>
      <c r="I27" s="773"/>
      <c r="J27" s="791"/>
      <c r="K27" s="3"/>
      <c r="L27" s="652" t="s">
        <v>36</v>
      </c>
      <c r="M27" s="652" t="s">
        <v>37</v>
      </c>
      <c r="N27" s="652" t="s">
        <v>38</v>
      </c>
      <c r="O27" s="652" t="s">
        <v>39</v>
      </c>
      <c r="P27" s="653" t="s">
        <v>9</v>
      </c>
      <c r="Q27" s="654" t="s">
        <v>9</v>
      </c>
      <c r="R27" s="654" t="s">
        <v>9</v>
      </c>
      <c r="S27" s="655"/>
      <c r="T27" s="635"/>
      <c r="U27" s="635"/>
    </row>
    <row r="28" spans="2:21" ht="28.8" x14ac:dyDescent="0.3">
      <c r="B28" s="87"/>
      <c r="C28" s="87" t="s">
        <v>145</v>
      </c>
      <c r="D28" s="87" t="s">
        <v>79</v>
      </c>
      <c r="E28" s="87" t="s">
        <v>80</v>
      </c>
      <c r="F28" s="87" t="s">
        <v>146</v>
      </c>
      <c r="G28" s="87" t="s">
        <v>147</v>
      </c>
      <c r="H28" s="87" t="s">
        <v>53</v>
      </c>
      <c r="I28" s="88" t="s">
        <v>65</v>
      </c>
      <c r="J28" s="88" t="s">
        <v>81</v>
      </c>
      <c r="K28" s="3"/>
      <c r="L28" s="656"/>
      <c r="M28" s="656"/>
      <c r="N28" s="656"/>
      <c r="O28" s="656"/>
      <c r="P28" s="654"/>
      <c r="Q28" s="654"/>
      <c r="R28" s="654"/>
      <c r="S28" s="655"/>
      <c r="T28" s="635"/>
      <c r="U28" s="635"/>
    </row>
    <row r="29" spans="2:21" x14ac:dyDescent="0.3">
      <c r="B29" s="90">
        <v>1</v>
      </c>
      <c r="C29" s="159" t="s">
        <v>223</v>
      </c>
      <c r="D29" s="90"/>
      <c r="E29" s="91">
        <v>1</v>
      </c>
      <c r="F29" s="92">
        <v>1900000</v>
      </c>
      <c r="G29" s="90">
        <v>1</v>
      </c>
      <c r="H29" s="90">
        <v>1</v>
      </c>
      <c r="I29" s="93">
        <f t="shared" ref="I29:I34" si="6">E29*F29*G29*H29</f>
        <v>1900000</v>
      </c>
      <c r="J29" s="94">
        <f t="shared" ref="J29:J34" si="7">I29/54</f>
        <v>35185.185185185182</v>
      </c>
      <c r="K29" s="3"/>
      <c r="L29" s="656"/>
      <c r="M29" s="656"/>
      <c r="N29" s="656"/>
      <c r="O29" s="654">
        <f>J29*15</f>
        <v>527777.77777777775</v>
      </c>
      <c r="P29" s="654">
        <f>L29+M29+N29+O29</f>
        <v>527777.77777777775</v>
      </c>
      <c r="Q29" s="657"/>
      <c r="R29" s="654"/>
      <c r="S29" s="655">
        <f>Q29+O29+R29</f>
        <v>527777.77777777775</v>
      </c>
      <c r="T29" s="635"/>
      <c r="U29" s="635"/>
    </row>
    <row r="30" spans="2:21" ht="28.8" x14ac:dyDescent="0.3">
      <c r="B30" s="90">
        <v>2</v>
      </c>
      <c r="C30" s="159" t="s">
        <v>224</v>
      </c>
      <c r="D30" s="90"/>
      <c r="E30" s="91">
        <v>1</v>
      </c>
      <c r="F30" s="92">
        <v>300000</v>
      </c>
      <c r="G30" s="90">
        <v>1</v>
      </c>
      <c r="H30" s="90">
        <v>1</v>
      </c>
      <c r="I30" s="93">
        <f t="shared" si="6"/>
        <v>300000</v>
      </c>
      <c r="J30" s="94">
        <f t="shared" si="7"/>
        <v>5555.5555555555557</v>
      </c>
      <c r="K30" s="3"/>
      <c r="L30" s="656"/>
      <c r="M30" s="656"/>
      <c r="N30" s="656"/>
      <c r="O30" s="635"/>
      <c r="P30" s="654"/>
      <c r="Q30" s="654">
        <f>J30*7</f>
        <v>38888.888888888891</v>
      </c>
      <c r="R30" s="654">
        <f>J30*8</f>
        <v>44444.444444444445</v>
      </c>
      <c r="S30" s="655">
        <f>Q30+O30+R30</f>
        <v>83333.333333333343</v>
      </c>
      <c r="T30" s="635"/>
      <c r="U30" s="635"/>
    </row>
    <row r="31" spans="2:21" x14ac:dyDescent="0.3">
      <c r="B31" s="90">
        <v>3</v>
      </c>
      <c r="C31" s="159" t="s">
        <v>225</v>
      </c>
      <c r="D31" s="90"/>
      <c r="E31" s="91">
        <v>1</v>
      </c>
      <c r="F31" s="92">
        <f>F59</f>
        <v>37000</v>
      </c>
      <c r="G31" s="90">
        <v>1</v>
      </c>
      <c r="H31" s="90">
        <v>1</v>
      </c>
      <c r="I31" s="93">
        <f t="shared" si="6"/>
        <v>37000</v>
      </c>
      <c r="J31" s="94">
        <f t="shared" si="7"/>
        <v>685.18518518518522</v>
      </c>
      <c r="K31" s="3"/>
      <c r="L31" s="656"/>
      <c r="M31" s="656"/>
      <c r="N31" s="656"/>
      <c r="O31" s="654">
        <f>J31*400</f>
        <v>274074.0740740741</v>
      </c>
      <c r="P31" s="654">
        <f t="shared" ref="P31:P34" si="8">L31+M31+N31+O31</f>
        <v>274074.0740740741</v>
      </c>
      <c r="Q31" s="657"/>
      <c r="R31" s="654"/>
      <c r="S31" s="655">
        <f>P31+O31+R31</f>
        <v>548148.1481481482</v>
      </c>
      <c r="T31" s="635"/>
      <c r="U31" s="635"/>
    </row>
    <row r="32" spans="2:21" x14ac:dyDescent="0.3">
      <c r="B32" s="90">
        <v>4</v>
      </c>
      <c r="C32" s="159" t="s">
        <v>226</v>
      </c>
      <c r="D32" s="90"/>
      <c r="E32" s="91">
        <v>1</v>
      </c>
      <c r="F32" s="92">
        <f>F60</f>
        <v>350000</v>
      </c>
      <c r="G32" s="90">
        <v>1</v>
      </c>
      <c r="H32" s="90">
        <v>1</v>
      </c>
      <c r="I32" s="93">
        <f t="shared" si="6"/>
        <v>350000</v>
      </c>
      <c r="J32" s="94">
        <f t="shared" si="7"/>
        <v>6481.4814814814818</v>
      </c>
      <c r="K32" s="3"/>
      <c r="L32" s="656"/>
      <c r="M32" s="656"/>
      <c r="N32" s="656"/>
      <c r="O32" s="654">
        <f>J32*150</f>
        <v>972222.22222222225</v>
      </c>
      <c r="P32" s="654">
        <f t="shared" si="8"/>
        <v>972222.22222222225</v>
      </c>
      <c r="Q32" s="657"/>
      <c r="R32" s="654"/>
      <c r="S32" s="655">
        <f>P32+O32+R32</f>
        <v>1944444.4444444445</v>
      </c>
      <c r="T32" s="635"/>
      <c r="U32" s="635"/>
    </row>
    <row r="33" spans="2:21" x14ac:dyDescent="0.3">
      <c r="B33" s="90">
        <v>5</v>
      </c>
      <c r="C33" s="90" t="s">
        <v>227</v>
      </c>
      <c r="D33" s="90"/>
      <c r="E33" s="90">
        <v>1</v>
      </c>
      <c r="F33" s="92">
        <f>F61</f>
        <v>108000</v>
      </c>
      <c r="G33" s="90">
        <v>1</v>
      </c>
      <c r="H33" s="90">
        <v>1</v>
      </c>
      <c r="I33" s="93">
        <f t="shared" si="6"/>
        <v>108000</v>
      </c>
      <c r="J33" s="93">
        <f t="shared" si="7"/>
        <v>2000</v>
      </c>
      <c r="K33" s="3"/>
      <c r="L33" s="656"/>
      <c r="M33" s="656"/>
      <c r="N33" s="656"/>
      <c r="O33" s="654">
        <f>J33*50</f>
        <v>100000</v>
      </c>
      <c r="P33" s="654">
        <f t="shared" si="8"/>
        <v>100000</v>
      </c>
      <c r="Q33" s="657"/>
      <c r="R33" s="654"/>
      <c r="S33" s="655">
        <f>P33+O33+R33</f>
        <v>200000</v>
      </c>
      <c r="T33" s="635"/>
      <c r="U33" s="635"/>
    </row>
    <row r="34" spans="2:21" x14ac:dyDescent="0.3">
      <c r="B34" s="90">
        <v>6</v>
      </c>
      <c r="C34" s="159" t="s">
        <v>228</v>
      </c>
      <c r="D34" s="90"/>
      <c r="E34" s="91">
        <v>1</v>
      </c>
      <c r="F34" s="92">
        <f>F62</f>
        <v>1600</v>
      </c>
      <c r="G34" s="90">
        <v>1</v>
      </c>
      <c r="H34" s="90">
        <v>1</v>
      </c>
      <c r="I34" s="93">
        <f t="shared" si="6"/>
        <v>1600</v>
      </c>
      <c r="J34" s="93">
        <f t="shared" si="7"/>
        <v>29.62962962962963</v>
      </c>
      <c r="K34" s="3"/>
      <c r="L34" s="656"/>
      <c r="M34" s="656"/>
      <c r="N34" s="656"/>
      <c r="O34" s="656">
        <f>J34*1000</f>
        <v>29629.629629629631</v>
      </c>
      <c r="P34" s="654">
        <f t="shared" si="8"/>
        <v>29629.629629629631</v>
      </c>
      <c r="Q34" s="654"/>
      <c r="R34" s="658"/>
      <c r="S34" s="655">
        <f t="shared" ref="S34" si="9">P34+Q34+R34</f>
        <v>29629.629629629631</v>
      </c>
      <c r="T34" s="635"/>
      <c r="U34" s="635"/>
    </row>
    <row r="35" spans="2:21" s="97" customFormat="1" x14ac:dyDescent="0.3">
      <c r="B35" s="98"/>
      <c r="C35" s="98" t="s">
        <v>56</v>
      </c>
      <c r="D35" s="98"/>
      <c r="E35" s="98"/>
      <c r="F35" s="98"/>
      <c r="G35" s="98"/>
      <c r="H35" s="98"/>
      <c r="I35" s="99"/>
      <c r="J35" s="99"/>
      <c r="K35" s="98"/>
      <c r="L35" s="659">
        <f>L29+L30+L31+L32+L33+L34</f>
        <v>0</v>
      </c>
      <c r="M35" s="659">
        <f t="shared" ref="M35:S35" si="10">M29+M30+M31+M32+M33+M34</f>
        <v>0</v>
      </c>
      <c r="N35" s="659">
        <f t="shared" si="10"/>
        <v>0</v>
      </c>
      <c r="O35" s="659">
        <f t="shared" si="10"/>
        <v>1903703.7037037038</v>
      </c>
      <c r="P35" s="659">
        <f t="shared" si="10"/>
        <v>1903703.7037037038</v>
      </c>
      <c r="Q35" s="659">
        <f t="shared" si="10"/>
        <v>38888.888888888891</v>
      </c>
      <c r="R35" s="659">
        <f t="shared" si="10"/>
        <v>44444.444444444445</v>
      </c>
      <c r="S35" s="659">
        <f t="shared" si="10"/>
        <v>3333333.3333333335</v>
      </c>
      <c r="T35" s="660"/>
      <c r="U35" s="660"/>
    </row>
    <row r="36" spans="2:21" s="2" customFormat="1" x14ac:dyDescent="0.3">
      <c r="L36" s="810" t="s">
        <v>26</v>
      </c>
      <c r="M36" s="810"/>
      <c r="N36" s="810"/>
      <c r="O36" s="810"/>
      <c r="P36" s="649" t="str">
        <f>P26</f>
        <v>Year 1</v>
      </c>
      <c r="Q36" s="650" t="s">
        <v>27</v>
      </c>
      <c r="R36" s="650" t="s">
        <v>28</v>
      </c>
      <c r="S36" s="651" t="s">
        <v>9</v>
      </c>
      <c r="T36" s="648"/>
      <c r="U36" s="648"/>
    </row>
    <row r="37" spans="2:21" x14ac:dyDescent="0.3">
      <c r="B37" s="790" t="s">
        <v>557</v>
      </c>
      <c r="C37" s="790"/>
      <c r="D37" s="790"/>
      <c r="E37" s="790"/>
      <c r="F37" s="790"/>
      <c r="G37" s="790"/>
      <c r="H37" s="790"/>
      <c r="I37" s="790"/>
      <c r="J37" s="790"/>
      <c r="K37" s="3"/>
      <c r="L37" s="652" t="s">
        <v>36</v>
      </c>
      <c r="M37" s="652" t="s">
        <v>37</v>
      </c>
      <c r="N37" s="652" t="s">
        <v>38</v>
      </c>
      <c r="O37" s="652" t="s">
        <v>39</v>
      </c>
      <c r="P37" s="653" t="s">
        <v>9</v>
      </c>
      <c r="Q37" s="654" t="s">
        <v>9</v>
      </c>
      <c r="R37" s="654" t="s">
        <v>9</v>
      </c>
      <c r="S37" s="655"/>
      <c r="T37" s="635"/>
      <c r="U37" s="635"/>
    </row>
    <row r="38" spans="2:21" ht="28.8" x14ac:dyDescent="0.3">
      <c r="B38" s="87"/>
      <c r="C38" s="87" t="s">
        <v>145</v>
      </c>
      <c r="D38" s="87" t="s">
        <v>79</v>
      </c>
      <c r="E38" s="87" t="s">
        <v>80</v>
      </c>
      <c r="F38" s="87" t="s">
        <v>146</v>
      </c>
      <c r="G38" s="87" t="s">
        <v>147</v>
      </c>
      <c r="H38" s="87" t="s">
        <v>148</v>
      </c>
      <c r="I38" s="88" t="s">
        <v>65</v>
      </c>
      <c r="J38" s="88" t="s">
        <v>81</v>
      </c>
      <c r="K38" s="3"/>
      <c r="L38" s="656"/>
      <c r="M38" s="656"/>
      <c r="N38" s="656"/>
      <c r="O38" s="656"/>
      <c r="P38" s="654"/>
      <c r="Q38" s="654"/>
      <c r="R38" s="654"/>
      <c r="S38" s="655"/>
      <c r="T38" s="635"/>
      <c r="U38" s="635"/>
    </row>
    <row r="39" spans="2:21" ht="28.8" x14ac:dyDescent="0.3">
      <c r="B39" s="90">
        <v>1</v>
      </c>
      <c r="C39" s="180" t="s">
        <v>229</v>
      </c>
      <c r="D39" s="90"/>
      <c r="E39" s="91">
        <v>1</v>
      </c>
      <c r="F39" s="92">
        <f>F65</f>
        <v>4320000</v>
      </c>
      <c r="G39" s="90">
        <v>1</v>
      </c>
      <c r="H39" s="90">
        <v>1</v>
      </c>
      <c r="I39" s="93">
        <f>E39*F39*G39*H39</f>
        <v>4320000</v>
      </c>
      <c r="J39" s="94">
        <f t="shared" ref="J39:J43" si="11">I39/54</f>
        <v>80000</v>
      </c>
      <c r="K39" s="3"/>
      <c r="L39" s="656"/>
      <c r="M39" s="656"/>
      <c r="N39" s="656"/>
      <c r="O39" s="656">
        <f>J39*3</f>
        <v>240000</v>
      </c>
      <c r="P39" s="654">
        <f>L39+M39+N39+O39</f>
        <v>240000</v>
      </c>
      <c r="Q39" s="654"/>
      <c r="R39" s="654"/>
      <c r="S39" s="655">
        <f>P39+Q39+R39</f>
        <v>240000</v>
      </c>
      <c r="T39" s="635"/>
      <c r="U39" s="635"/>
    </row>
    <row r="40" spans="2:21" ht="28.8" x14ac:dyDescent="0.3">
      <c r="B40" s="90">
        <v>2</v>
      </c>
      <c r="C40" s="143" t="s">
        <v>230</v>
      </c>
      <c r="D40" s="90"/>
      <c r="E40" s="91">
        <v>1</v>
      </c>
      <c r="F40" s="92">
        <f>F66</f>
        <v>10800000</v>
      </c>
      <c r="G40" s="90">
        <v>1</v>
      </c>
      <c r="H40" s="90">
        <v>1</v>
      </c>
      <c r="I40" s="93">
        <f>E40*F40*G40*H40</f>
        <v>10800000</v>
      </c>
      <c r="J40" s="94">
        <f t="shared" si="11"/>
        <v>200000</v>
      </c>
      <c r="K40" s="3"/>
      <c r="L40" s="89"/>
      <c r="M40" s="89"/>
      <c r="N40" s="89"/>
      <c r="O40" s="89">
        <f>J40*2</f>
        <v>400000</v>
      </c>
      <c r="P40" s="137">
        <f t="shared" ref="P40:P43" si="12">L40+M40+N40+O40</f>
        <v>400000</v>
      </c>
      <c r="Q40" s="137"/>
      <c r="R40" s="137"/>
      <c r="S40" s="76">
        <f t="shared" ref="S40:S43" si="13">P40+Q40+R40</f>
        <v>400000</v>
      </c>
    </row>
    <row r="41" spans="2:21" x14ac:dyDescent="0.3">
      <c r="B41" s="90">
        <v>3</v>
      </c>
      <c r="C41" s="143" t="s">
        <v>231</v>
      </c>
      <c r="D41" s="90"/>
      <c r="E41" s="91">
        <v>1</v>
      </c>
      <c r="F41" s="92">
        <f>F67</f>
        <v>120000</v>
      </c>
      <c r="G41" s="90">
        <v>1</v>
      </c>
      <c r="H41" s="90">
        <v>1</v>
      </c>
      <c r="I41" s="93">
        <f>E41*F41*G41*H41</f>
        <v>120000</v>
      </c>
      <c r="J41" s="94">
        <f t="shared" si="11"/>
        <v>2222.2222222222222</v>
      </c>
      <c r="K41" s="3"/>
      <c r="L41" s="89"/>
      <c r="M41" s="89"/>
      <c r="N41" s="89"/>
      <c r="O41" s="89">
        <f>J41*100</f>
        <v>222222.22222222222</v>
      </c>
      <c r="P41" s="137">
        <f t="shared" si="12"/>
        <v>222222.22222222222</v>
      </c>
      <c r="Q41" s="137"/>
      <c r="R41" s="137"/>
      <c r="S41" s="76">
        <f t="shared" si="13"/>
        <v>222222.22222222222</v>
      </c>
    </row>
    <row r="42" spans="2:21" ht="28.8" x14ac:dyDescent="0.3">
      <c r="B42" s="90">
        <v>4</v>
      </c>
      <c r="C42" s="143" t="s">
        <v>232</v>
      </c>
      <c r="D42" s="90"/>
      <c r="E42" s="91">
        <v>1</v>
      </c>
      <c r="F42" s="92">
        <f>F68</f>
        <v>4320000</v>
      </c>
      <c r="G42" s="90">
        <v>1</v>
      </c>
      <c r="H42" s="90">
        <v>1</v>
      </c>
      <c r="I42" s="93">
        <f>E42*F42*G42*H42</f>
        <v>4320000</v>
      </c>
      <c r="J42" s="94">
        <f t="shared" si="11"/>
        <v>80000</v>
      </c>
      <c r="K42" s="3"/>
      <c r="L42" s="89"/>
      <c r="M42" s="89"/>
      <c r="N42" s="89"/>
      <c r="O42" s="89">
        <f>J42*3</f>
        <v>240000</v>
      </c>
      <c r="P42" s="137">
        <f t="shared" si="12"/>
        <v>240000</v>
      </c>
      <c r="Q42" s="137"/>
      <c r="R42" s="137"/>
      <c r="S42" s="76">
        <f t="shared" si="13"/>
        <v>240000</v>
      </c>
    </row>
    <row r="43" spans="2:21" ht="43.2" x14ac:dyDescent="0.3">
      <c r="B43" s="90">
        <v>5</v>
      </c>
      <c r="C43" s="182" t="s">
        <v>233</v>
      </c>
      <c r="D43" s="90"/>
      <c r="E43" s="90">
        <v>1</v>
      </c>
      <c r="F43" s="92">
        <f>F74</f>
        <v>10800000</v>
      </c>
      <c r="G43" s="90">
        <v>1</v>
      </c>
      <c r="H43" s="90">
        <v>1</v>
      </c>
      <c r="I43" s="93">
        <f>E43*F43*G43*H43</f>
        <v>10800000</v>
      </c>
      <c r="J43" s="93">
        <f t="shared" si="11"/>
        <v>200000</v>
      </c>
      <c r="K43" s="3"/>
      <c r="L43" s="89"/>
      <c r="M43" s="89"/>
      <c r="N43" s="89">
        <f>J43*1</f>
        <v>200000</v>
      </c>
      <c r="O43" s="89"/>
      <c r="P43" s="137">
        <f t="shared" si="12"/>
        <v>200000</v>
      </c>
      <c r="Q43" s="137">
        <f>J43*1</f>
        <v>200000</v>
      </c>
      <c r="R43" s="137">
        <f>J43*1</f>
        <v>200000</v>
      </c>
      <c r="S43" s="76">
        <f t="shared" si="13"/>
        <v>600000</v>
      </c>
    </row>
    <row r="44" spans="2:21" s="97" customFormat="1" x14ac:dyDescent="0.3">
      <c r="B44" s="98"/>
      <c r="C44" s="98" t="s">
        <v>56</v>
      </c>
      <c r="D44" s="98"/>
      <c r="E44" s="98"/>
      <c r="F44" s="98"/>
      <c r="G44" s="98"/>
      <c r="H44" s="98"/>
      <c r="I44" s="99"/>
      <c r="J44" s="99"/>
      <c r="K44" s="98"/>
      <c r="L44" s="100">
        <f>L39+L40+L41+L42+L43</f>
        <v>0</v>
      </c>
      <c r="M44" s="100">
        <f t="shared" ref="M44:S44" si="14">M39+M40+M41+M42+M43</f>
        <v>0</v>
      </c>
      <c r="N44" s="100">
        <f t="shared" si="14"/>
        <v>200000</v>
      </c>
      <c r="O44" s="100">
        <f t="shared" si="14"/>
        <v>1102222.2222222222</v>
      </c>
      <c r="P44" s="100">
        <f t="shared" si="14"/>
        <v>1302222.2222222222</v>
      </c>
      <c r="Q44" s="100">
        <f t="shared" si="14"/>
        <v>200000</v>
      </c>
      <c r="R44" s="100">
        <f t="shared" si="14"/>
        <v>200000</v>
      </c>
      <c r="S44" s="100">
        <f t="shared" si="14"/>
        <v>1702222.2222222222</v>
      </c>
    </row>
    <row r="45" spans="2:21" s="383" customFormat="1" x14ac:dyDescent="0.3">
      <c r="B45" s="384"/>
      <c r="C45" s="384"/>
      <c r="D45" s="384"/>
      <c r="E45" s="384"/>
      <c r="F45" s="384"/>
      <c r="G45" s="384"/>
      <c r="H45" s="384"/>
      <c r="I45" s="385"/>
      <c r="J45" s="385"/>
      <c r="K45" s="384"/>
      <c r="L45" s="386"/>
      <c r="M45" s="386"/>
      <c r="N45" s="386"/>
      <c r="O45" s="386"/>
      <c r="P45" s="386"/>
      <c r="Q45" s="386"/>
      <c r="R45" s="386"/>
      <c r="S45" s="386"/>
    </row>
    <row r="46" spans="2:21" s="148" customFormat="1" x14ac:dyDescent="0.3">
      <c r="B46" s="779" t="s">
        <v>59</v>
      </c>
      <c r="C46" s="780"/>
      <c r="D46" s="780"/>
      <c r="E46" s="780"/>
      <c r="F46" s="780"/>
      <c r="G46" s="780"/>
      <c r="H46" s="780"/>
      <c r="I46" s="780"/>
      <c r="J46" s="781"/>
      <c r="L46" s="782" t="s">
        <v>26</v>
      </c>
      <c r="M46" s="782"/>
      <c r="N46" s="782"/>
      <c r="O46" s="782"/>
      <c r="P46" s="75">
        <f>P39</f>
        <v>240000</v>
      </c>
      <c r="Q46" s="76" t="s">
        <v>27</v>
      </c>
      <c r="R46" s="76" t="s">
        <v>28</v>
      </c>
      <c r="S46" s="77" t="s">
        <v>9</v>
      </c>
    </row>
    <row r="47" spans="2:21" s="148" customFormat="1" x14ac:dyDescent="0.3">
      <c r="B47" s="378"/>
      <c r="C47" s="378"/>
      <c r="D47" s="378"/>
      <c r="E47" s="356"/>
      <c r="F47" s="378"/>
      <c r="G47" s="378"/>
      <c r="H47" s="379"/>
      <c r="I47" s="380"/>
      <c r="J47" s="380"/>
      <c r="L47" s="80" t="s">
        <v>36</v>
      </c>
      <c r="M47" s="80" t="s">
        <v>37</v>
      </c>
      <c r="N47" s="80" t="s">
        <v>38</v>
      </c>
      <c r="O47" s="80" t="s">
        <v>39</v>
      </c>
      <c r="P47" s="75" t="s">
        <v>9</v>
      </c>
      <c r="Q47" s="81" t="s">
        <v>9</v>
      </c>
      <c r="R47" s="81" t="s">
        <v>9</v>
      </c>
      <c r="S47" s="77"/>
    </row>
    <row r="48" spans="2:21" s="148" customFormat="1" x14ac:dyDescent="0.3">
      <c r="B48" s="378" t="str">
        <f>B3</f>
        <v>1.5.1</v>
      </c>
      <c r="C48" s="378" t="str">
        <f>C3</f>
        <v>Build Institutional Capacity of the NCCVMRC</v>
      </c>
      <c r="D48" s="378"/>
      <c r="E48" s="356"/>
      <c r="F48" s="378"/>
      <c r="G48" s="378"/>
      <c r="H48" s="379"/>
      <c r="I48" s="380"/>
      <c r="J48" s="380"/>
      <c r="L48" s="381">
        <f>L35</f>
        <v>0</v>
      </c>
      <c r="M48" s="381">
        <f t="shared" ref="M48:S48" si="15">M35</f>
        <v>0</v>
      </c>
      <c r="N48" s="381">
        <f t="shared" si="15"/>
        <v>0</v>
      </c>
      <c r="O48" s="381">
        <f t="shared" si="15"/>
        <v>1903703.7037037038</v>
      </c>
      <c r="P48" s="381">
        <f t="shared" si="15"/>
        <v>1903703.7037037038</v>
      </c>
      <c r="Q48" s="381">
        <f t="shared" si="15"/>
        <v>38888.888888888891</v>
      </c>
      <c r="R48" s="381">
        <f t="shared" si="15"/>
        <v>44444.444444444445</v>
      </c>
      <c r="S48" s="381">
        <f t="shared" si="15"/>
        <v>3333333.3333333335</v>
      </c>
    </row>
    <row r="49" spans="2:19" s="148" customFormat="1" x14ac:dyDescent="0.3">
      <c r="B49" s="378" t="str">
        <f>B4</f>
        <v>1.5.2</v>
      </c>
      <c r="C49" s="378" t="str">
        <f>C4</f>
        <v>Improve / operationalise existing cold chain equipment &amp; reduce sickness rate.</v>
      </c>
      <c r="D49" s="378"/>
      <c r="E49" s="356"/>
      <c r="F49" s="378"/>
      <c r="G49" s="378"/>
      <c r="H49" s="379"/>
      <c r="I49" s="380"/>
      <c r="J49" s="380"/>
      <c r="L49" s="147">
        <f>L44</f>
        <v>0</v>
      </c>
      <c r="M49" s="147">
        <f t="shared" ref="M49:S49" si="16">M44</f>
        <v>0</v>
      </c>
      <c r="N49" s="147">
        <f t="shared" si="16"/>
        <v>200000</v>
      </c>
      <c r="O49" s="147">
        <f t="shared" si="16"/>
        <v>1102222.2222222222</v>
      </c>
      <c r="P49" s="147">
        <f t="shared" si="16"/>
        <v>1302222.2222222222</v>
      </c>
      <c r="Q49" s="147">
        <f t="shared" si="16"/>
        <v>200000</v>
      </c>
      <c r="R49" s="147">
        <f t="shared" si="16"/>
        <v>200000</v>
      </c>
      <c r="S49" s="147">
        <f t="shared" si="16"/>
        <v>1702222.2222222222</v>
      </c>
    </row>
    <row r="50" spans="2:19" s="148" customFormat="1" x14ac:dyDescent="0.3">
      <c r="B50" s="378"/>
      <c r="C50" s="378"/>
      <c r="D50" s="378"/>
      <c r="E50" s="356"/>
      <c r="F50" s="378"/>
      <c r="G50" s="378"/>
      <c r="H50" s="379"/>
      <c r="I50" s="380"/>
      <c r="J50" s="380"/>
      <c r="L50" s="381"/>
      <c r="M50" s="381"/>
      <c r="N50" s="381"/>
      <c r="O50" s="381"/>
      <c r="P50" s="381"/>
      <c r="Q50" s="381"/>
      <c r="R50" s="381"/>
      <c r="S50" s="381"/>
    </row>
    <row r="51" spans="2:19" s="148" customFormat="1" ht="14.25" customHeight="1" x14ac:dyDescent="0.3">
      <c r="B51" s="378"/>
      <c r="C51" s="378"/>
      <c r="D51" s="378"/>
      <c r="E51" s="356"/>
      <c r="F51" s="378"/>
      <c r="G51" s="378"/>
      <c r="H51" s="379"/>
      <c r="I51" s="380"/>
      <c r="J51" s="380"/>
      <c r="L51" s="79"/>
      <c r="M51" s="79"/>
      <c r="N51" s="79"/>
      <c r="O51" s="381"/>
      <c r="P51" s="382"/>
      <c r="Q51" s="382"/>
      <c r="R51" s="382"/>
      <c r="S51" s="382"/>
    </row>
    <row r="52" spans="2:19" s="148" customFormat="1" ht="14.25" customHeight="1" x14ac:dyDescent="0.3">
      <c r="B52" s="373"/>
      <c r="C52" s="373"/>
      <c r="D52" s="373"/>
      <c r="E52" s="355"/>
      <c r="F52" s="373"/>
      <c r="G52" s="373"/>
      <c r="H52" s="374"/>
      <c r="I52" s="375"/>
      <c r="J52" s="375"/>
      <c r="L52" s="41"/>
      <c r="M52" s="41"/>
      <c r="N52" s="41"/>
      <c r="O52" s="376"/>
      <c r="P52" s="377"/>
      <c r="Q52" s="377"/>
      <c r="R52" s="377"/>
      <c r="S52" s="377"/>
    </row>
    <row r="53" spans="2:19" x14ac:dyDescent="0.3">
      <c r="B53" s="783" t="s">
        <v>61</v>
      </c>
      <c r="C53" s="783"/>
      <c r="D53" s="783"/>
      <c r="E53" s="783"/>
      <c r="F53" s="783"/>
      <c r="G53" s="783"/>
      <c r="H53" s="783"/>
      <c r="I53" s="783"/>
      <c r="J53" s="783"/>
    </row>
    <row r="54" spans="2:19" x14ac:dyDescent="0.3">
      <c r="B54" s="2" t="s">
        <v>234</v>
      </c>
    </row>
    <row r="55" spans="2:19" x14ac:dyDescent="0.3">
      <c r="B55" s="183"/>
      <c r="C55" s="183" t="s">
        <v>235</v>
      </c>
      <c r="D55" s="183" t="s">
        <v>160</v>
      </c>
      <c r="E55" s="183" t="s">
        <v>236</v>
      </c>
      <c r="F55" s="183" t="s">
        <v>237</v>
      </c>
      <c r="M55" s="4"/>
      <c r="N55" s="4"/>
      <c r="O55" s="4"/>
      <c r="P55" s="4"/>
      <c r="Q55" s="4"/>
      <c r="R55" s="4"/>
      <c r="S55" s="4"/>
    </row>
    <row r="56" spans="2:19" x14ac:dyDescent="0.3">
      <c r="B56" s="20" t="s">
        <v>238</v>
      </c>
      <c r="C56" s="3"/>
      <c r="D56" s="3"/>
      <c r="E56" s="3"/>
      <c r="F56" s="3"/>
      <c r="M56" s="4"/>
      <c r="N56" s="4"/>
      <c r="O56" s="4"/>
      <c r="P56" s="4"/>
      <c r="Q56" s="4"/>
      <c r="R56" s="4"/>
      <c r="S56" s="4"/>
    </row>
    <row r="57" spans="2:19" x14ac:dyDescent="0.3">
      <c r="B57" s="3"/>
      <c r="C57" s="159" t="s">
        <v>239</v>
      </c>
      <c r="D57" s="3"/>
      <c r="E57" s="3">
        <v>1</v>
      </c>
      <c r="F57" s="89">
        <v>1900000</v>
      </c>
      <c r="M57" s="809"/>
      <c r="N57" s="809"/>
      <c r="O57" s="809"/>
      <c r="P57" s="809"/>
      <c r="Q57" s="809"/>
      <c r="R57" s="809"/>
      <c r="S57" s="809"/>
    </row>
    <row r="58" spans="2:19" x14ac:dyDescent="0.3">
      <c r="B58" s="3"/>
      <c r="C58" s="159" t="s">
        <v>240</v>
      </c>
      <c r="D58" s="3"/>
      <c r="E58" s="3">
        <v>1</v>
      </c>
      <c r="F58" s="89">
        <v>300000</v>
      </c>
      <c r="M58" s="809"/>
      <c r="N58" s="809"/>
      <c r="O58" s="809"/>
      <c r="P58" s="809"/>
      <c r="Q58" s="809"/>
      <c r="R58" s="809"/>
      <c r="S58" s="809"/>
    </row>
    <row r="59" spans="2:19" x14ac:dyDescent="0.3">
      <c r="B59" s="3"/>
      <c r="C59" s="159" t="s">
        <v>241</v>
      </c>
      <c r="D59" s="3"/>
      <c r="E59" s="3">
        <v>1</v>
      </c>
      <c r="F59" s="89">
        <v>37000</v>
      </c>
      <c r="M59" s="809"/>
      <c r="N59" s="809"/>
      <c r="O59" s="809"/>
      <c r="P59" s="809"/>
      <c r="Q59" s="809"/>
      <c r="R59" s="809"/>
      <c r="S59" s="809"/>
    </row>
    <row r="60" spans="2:19" x14ac:dyDescent="0.3">
      <c r="B60" s="3"/>
      <c r="C60" s="159" t="s">
        <v>242</v>
      </c>
      <c r="D60" s="3"/>
      <c r="E60" s="3">
        <v>1</v>
      </c>
      <c r="F60" s="89">
        <v>350000</v>
      </c>
      <c r="M60" s="809"/>
      <c r="N60" s="809"/>
      <c r="O60" s="809"/>
      <c r="P60" s="809"/>
      <c r="Q60" s="809"/>
      <c r="R60" s="809"/>
      <c r="S60" s="809"/>
    </row>
    <row r="61" spans="2:19" x14ac:dyDescent="0.3">
      <c r="B61" s="3"/>
      <c r="C61" s="159" t="s">
        <v>243</v>
      </c>
      <c r="D61" s="3"/>
      <c r="E61" s="3">
        <v>1</v>
      </c>
      <c r="F61" s="89">
        <v>108000</v>
      </c>
      <c r="M61" s="809"/>
      <c r="N61" s="809"/>
      <c r="O61" s="809"/>
      <c r="P61" s="809"/>
      <c r="Q61" s="809"/>
      <c r="R61" s="809"/>
      <c r="S61" s="809"/>
    </row>
    <row r="62" spans="2:19" x14ac:dyDescent="0.3">
      <c r="B62" s="3"/>
      <c r="C62" s="159" t="s">
        <v>244</v>
      </c>
      <c r="D62" s="3"/>
      <c r="E62" s="3">
        <v>1</v>
      </c>
      <c r="F62" s="89">
        <v>1600</v>
      </c>
      <c r="M62" s="4"/>
      <c r="N62" s="4"/>
      <c r="O62" s="4"/>
      <c r="P62" s="4"/>
      <c r="Q62" s="4"/>
      <c r="R62" s="4"/>
      <c r="S62" s="4"/>
    </row>
    <row r="63" spans="2:19" x14ac:dyDescent="0.3">
      <c r="B63" s="184"/>
      <c r="C63" s="184"/>
      <c r="D63" s="184"/>
      <c r="E63" s="184"/>
      <c r="F63" s="185"/>
      <c r="M63" s="4"/>
      <c r="N63" s="4"/>
      <c r="O63" s="4"/>
      <c r="P63" s="4"/>
      <c r="Q63" s="4"/>
      <c r="R63" s="4"/>
      <c r="S63" s="4"/>
    </row>
    <row r="64" spans="2:19" x14ac:dyDescent="0.3">
      <c r="B64" s="184"/>
      <c r="C64" s="184"/>
      <c r="D64" s="184"/>
      <c r="E64" s="184"/>
      <c r="F64" s="185"/>
      <c r="M64" s="4"/>
      <c r="N64" s="4"/>
      <c r="O64" s="4"/>
      <c r="P64" s="4"/>
      <c r="Q64" s="4"/>
      <c r="R64" s="4"/>
      <c r="S64" s="4"/>
    </row>
    <row r="65" spans="2:6" x14ac:dyDescent="0.3">
      <c r="B65" s="20" t="s">
        <v>245</v>
      </c>
      <c r="C65" s="159" t="s">
        <v>246</v>
      </c>
      <c r="D65" s="3"/>
      <c r="E65" s="3">
        <v>1</v>
      </c>
      <c r="F65" s="89">
        <v>4320000</v>
      </c>
    </row>
    <row r="66" spans="2:6" x14ac:dyDescent="0.3">
      <c r="B66" s="3"/>
      <c r="C66" s="159" t="s">
        <v>247</v>
      </c>
      <c r="D66" s="3"/>
      <c r="E66" s="3">
        <v>1</v>
      </c>
      <c r="F66" s="89">
        <v>10800000</v>
      </c>
    </row>
    <row r="67" spans="2:6" x14ac:dyDescent="0.3">
      <c r="B67" s="3"/>
      <c r="C67" s="159" t="s">
        <v>248</v>
      </c>
      <c r="D67" s="3"/>
      <c r="E67" s="3">
        <v>1</v>
      </c>
      <c r="F67" s="89">
        <v>120000</v>
      </c>
    </row>
    <row r="68" spans="2:6" x14ac:dyDescent="0.3">
      <c r="B68" s="3"/>
      <c r="C68" s="159" t="s">
        <v>249</v>
      </c>
      <c r="D68" s="3"/>
      <c r="E68" s="3">
        <v>1</v>
      </c>
      <c r="F68" s="89">
        <f>2160000*2</f>
        <v>4320000</v>
      </c>
    </row>
    <row r="69" spans="2:6" x14ac:dyDescent="0.3">
      <c r="B69" s="184"/>
      <c r="C69" s="184"/>
      <c r="D69" s="184"/>
      <c r="E69" s="184"/>
      <c r="F69" s="184"/>
    </row>
    <row r="70" spans="2:6" x14ac:dyDescent="0.3">
      <c r="B70" s="186"/>
      <c r="C70" s="186" t="s">
        <v>9</v>
      </c>
      <c r="D70" s="186"/>
      <c r="E70" s="186"/>
      <c r="F70" s="186"/>
    </row>
    <row r="72" spans="2:6" x14ac:dyDescent="0.3">
      <c r="B72" s="2" t="s">
        <v>250</v>
      </c>
    </row>
    <row r="73" spans="2:6" x14ac:dyDescent="0.3">
      <c r="B73" s="183"/>
      <c r="C73" s="183" t="s">
        <v>5</v>
      </c>
      <c r="D73" s="183"/>
      <c r="E73" s="183" t="s">
        <v>236</v>
      </c>
      <c r="F73" s="183" t="s">
        <v>237</v>
      </c>
    </row>
    <row r="74" spans="2:6" ht="28.8" x14ac:dyDescent="0.3">
      <c r="B74" s="187">
        <v>1</v>
      </c>
      <c r="C74" s="159" t="s">
        <v>251</v>
      </c>
      <c r="D74" s="3"/>
      <c r="E74" s="3">
        <v>1</v>
      </c>
      <c r="F74" s="89">
        <v>10800000</v>
      </c>
    </row>
    <row r="75" spans="2:6" x14ac:dyDescent="0.3">
      <c r="B75" s="3"/>
      <c r="C75" s="159"/>
      <c r="D75" s="3"/>
      <c r="E75" s="3"/>
      <c r="F75" s="89"/>
    </row>
    <row r="76" spans="2:6" x14ac:dyDescent="0.3">
      <c r="B76" s="184"/>
      <c r="C76" s="184"/>
      <c r="D76" s="184"/>
      <c r="E76" s="184"/>
      <c r="F76" s="184"/>
    </row>
    <row r="77" spans="2:6" x14ac:dyDescent="0.3">
      <c r="B77" s="186"/>
      <c r="C77" s="186" t="s">
        <v>9</v>
      </c>
      <c r="D77" s="186"/>
      <c r="E77" s="186"/>
      <c r="F77" s="186"/>
    </row>
  </sheetData>
  <mergeCells count="23">
    <mergeCell ref="C13:J13"/>
    <mergeCell ref="B7:J7"/>
    <mergeCell ref="L8:O8"/>
    <mergeCell ref="C10:J10"/>
    <mergeCell ref="C11:J11"/>
    <mergeCell ref="C12:J12"/>
    <mergeCell ref="L36:O36"/>
    <mergeCell ref="C14:J14"/>
    <mergeCell ref="C15:J15"/>
    <mergeCell ref="C16:J16"/>
    <mergeCell ref="C18:J18"/>
    <mergeCell ref="C19:J19"/>
    <mergeCell ref="C20:J20"/>
    <mergeCell ref="C21:J21"/>
    <mergeCell ref="C22:J22"/>
    <mergeCell ref="C23:J23"/>
    <mergeCell ref="L26:O26"/>
    <mergeCell ref="B27:J27"/>
    <mergeCell ref="B37:J37"/>
    <mergeCell ref="B46:J46"/>
    <mergeCell ref="L46:O46"/>
    <mergeCell ref="B53:J53"/>
    <mergeCell ref="M57:S61"/>
  </mergeCells>
  <pageMargins left="0.7" right="0.7" top="0.75" bottom="0.75" header="0.3" footer="0.3"/>
  <pageSetup scale="3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115"/>
  <sheetViews>
    <sheetView zoomScale="70" zoomScaleNormal="70" workbookViewId="0">
      <selection activeCell="N39" sqref="N39"/>
    </sheetView>
  </sheetViews>
  <sheetFormatPr defaultColWidth="10.109375" defaultRowHeight="14.4" x14ac:dyDescent="0.3"/>
  <cols>
    <col min="1" max="1" width="3.109375" style="1" customWidth="1"/>
    <col min="2" max="2" width="6.109375" style="1" customWidth="1"/>
    <col min="3" max="3" width="69.88671875" style="1" customWidth="1"/>
    <col min="4" max="4" width="13.44140625" style="1" customWidth="1"/>
    <col min="5" max="5" width="13" style="1" bestFit="1" customWidth="1"/>
    <col min="6" max="6" width="16.44140625" style="1" bestFit="1" customWidth="1"/>
    <col min="7" max="7" width="14.5546875" style="1" bestFit="1" customWidth="1"/>
    <col min="8" max="8" width="8.44140625" style="1" customWidth="1"/>
    <col min="9" max="9" width="16.33203125" style="1" customWidth="1"/>
    <col min="10" max="10" width="12.33203125" style="1" bestFit="1" customWidth="1"/>
    <col min="11" max="11" width="3" style="1" customWidth="1"/>
    <col min="12" max="14" width="12.33203125" style="1" bestFit="1" customWidth="1"/>
    <col min="15" max="15" width="13.109375" style="1" bestFit="1" customWidth="1"/>
    <col min="16" max="16" width="13.5546875" style="1" bestFit="1" customWidth="1"/>
    <col min="17" max="18" width="15" style="1" bestFit="1" customWidth="1"/>
    <col min="19" max="19" width="16.88671875" style="1" bestFit="1" customWidth="1"/>
    <col min="20" max="16384" width="10.109375" style="1"/>
  </cols>
  <sheetData>
    <row r="2" spans="2:19" ht="28.8" x14ac:dyDescent="0.3">
      <c r="B2" s="48">
        <v>3.1</v>
      </c>
      <c r="C2" s="65" t="s">
        <v>558</v>
      </c>
      <c r="D2" s="62" t="s">
        <v>26</v>
      </c>
      <c r="E2" s="62" t="s">
        <v>27</v>
      </c>
      <c r="F2" s="62" t="s">
        <v>28</v>
      </c>
      <c r="G2" s="62" t="s">
        <v>9</v>
      </c>
    </row>
    <row r="3" spans="2:19" x14ac:dyDescent="0.3">
      <c r="B3" s="51"/>
      <c r="C3" s="66"/>
      <c r="D3" s="67">
        <f>P30</f>
        <v>699333.33333333337</v>
      </c>
      <c r="E3" s="67">
        <f t="shared" ref="E3:F3" si="0">Q30</f>
        <v>457407.40740740742</v>
      </c>
      <c r="F3" s="67">
        <f t="shared" si="0"/>
        <v>679629.62962962966</v>
      </c>
      <c r="G3" s="67">
        <f>D3+E3+F3</f>
        <v>1836370.3703703703</v>
      </c>
    </row>
    <row r="4" spans="2:19" x14ac:dyDescent="0.3">
      <c r="B4" s="51"/>
      <c r="C4" s="68" t="s">
        <v>10</v>
      </c>
      <c r="D4" s="69">
        <f>D3</f>
        <v>699333.33333333337</v>
      </c>
      <c r="E4" s="69">
        <f t="shared" ref="E4:G4" si="1">E3</f>
        <v>457407.40740740742</v>
      </c>
      <c r="F4" s="69">
        <f t="shared" si="1"/>
        <v>679629.62962962966</v>
      </c>
      <c r="G4" s="69">
        <f t="shared" si="1"/>
        <v>1836370.3703703703</v>
      </c>
    </row>
    <row r="5" spans="2:19" x14ac:dyDescent="0.3">
      <c r="B5" s="135"/>
      <c r="C5" s="71"/>
      <c r="D5" s="72"/>
      <c r="E5" s="72"/>
      <c r="F5" s="72"/>
      <c r="G5" s="72"/>
    </row>
    <row r="6" spans="2:19" ht="20.100000000000001" customHeight="1" x14ac:dyDescent="0.3">
      <c r="B6" s="794" t="s">
        <v>34</v>
      </c>
      <c r="C6" s="794"/>
      <c r="D6" s="794"/>
      <c r="E6" s="794"/>
      <c r="F6" s="794"/>
      <c r="G6" s="794"/>
      <c r="H6" s="794"/>
      <c r="I6" s="794"/>
      <c r="J6" s="794"/>
      <c r="K6" s="3"/>
      <c r="L6" s="3"/>
      <c r="M6" s="3"/>
      <c r="N6" s="3"/>
      <c r="O6" s="3"/>
      <c r="P6" s="8"/>
      <c r="Q6" s="8"/>
      <c r="R6" s="8"/>
      <c r="S6" s="6"/>
    </row>
    <row r="7" spans="2:19" ht="20.100000000000001" customHeight="1" x14ac:dyDescent="0.3">
      <c r="B7" s="51"/>
      <c r="C7" s="73"/>
      <c r="D7" s="74"/>
      <c r="E7" s="74"/>
      <c r="F7" s="74"/>
      <c r="G7" s="74"/>
      <c r="H7" s="3"/>
      <c r="I7" s="3"/>
      <c r="J7" s="3"/>
      <c r="K7" s="3"/>
      <c r="L7" s="782" t="s">
        <v>26</v>
      </c>
      <c r="M7" s="782"/>
      <c r="N7" s="782"/>
      <c r="O7" s="782"/>
      <c r="P7" s="136" t="s">
        <v>26</v>
      </c>
      <c r="Q7" s="137" t="s">
        <v>27</v>
      </c>
      <c r="R7" s="137" t="s">
        <v>28</v>
      </c>
      <c r="S7" s="77" t="s">
        <v>19</v>
      </c>
    </row>
    <row r="8" spans="2:19" ht="20.100000000000001" customHeight="1" x14ac:dyDescent="0.3">
      <c r="B8" s="78"/>
      <c r="C8" s="610" t="str">
        <f>B19</f>
        <v>Implement Multi pronged national BCC strategy development and operational plans</v>
      </c>
      <c r="D8" s="611"/>
      <c r="E8" s="611"/>
      <c r="F8" s="611"/>
      <c r="G8" s="611"/>
      <c r="H8" s="611"/>
      <c r="I8" s="611"/>
      <c r="J8" s="612"/>
      <c r="K8" s="3"/>
      <c r="L8" s="80" t="s">
        <v>36</v>
      </c>
      <c r="M8" s="80" t="s">
        <v>37</v>
      </c>
      <c r="N8" s="80" t="s">
        <v>38</v>
      </c>
      <c r="O8" s="80" t="s">
        <v>39</v>
      </c>
      <c r="P8" s="136" t="s">
        <v>9</v>
      </c>
      <c r="Q8" s="137" t="s">
        <v>9</v>
      </c>
      <c r="R8" s="137" t="s">
        <v>9</v>
      </c>
      <c r="S8" s="77"/>
    </row>
    <row r="9" spans="2:19" ht="20.100000000000001" customHeight="1" x14ac:dyDescent="0.3">
      <c r="B9" s="78">
        <v>1</v>
      </c>
      <c r="C9" s="607" t="str">
        <f>C21</f>
        <v>Support 12 states in developing evidence-based communication strategy plans through strategy development workshops</v>
      </c>
      <c r="D9" s="608"/>
      <c r="E9" s="608"/>
      <c r="F9" s="608"/>
      <c r="G9" s="608"/>
      <c r="H9" s="608"/>
      <c r="I9" s="608"/>
      <c r="J9" s="609"/>
      <c r="K9" s="3"/>
      <c r="L9" s="3"/>
      <c r="M9" s="3"/>
      <c r="N9" s="3"/>
      <c r="O9" s="3"/>
      <c r="P9" s="8"/>
      <c r="Q9" s="8"/>
      <c r="R9" s="8"/>
      <c r="S9" s="6"/>
    </row>
    <row r="10" spans="2:19" ht="20.100000000000001" customHeight="1" x14ac:dyDescent="0.3">
      <c r="B10" s="78"/>
      <c r="C10" s="607" t="str">
        <f t="shared" ref="C10:C16" si="2">C22</f>
        <v>Regional/ State workshops</v>
      </c>
      <c r="D10" s="608"/>
      <c r="E10" s="608"/>
      <c r="F10" s="608"/>
      <c r="G10" s="608"/>
      <c r="H10" s="608"/>
      <c r="I10" s="608"/>
      <c r="J10" s="609"/>
      <c r="K10" s="3"/>
      <c r="L10" s="3"/>
      <c r="M10" s="3"/>
      <c r="N10" s="3">
        <v>4</v>
      </c>
      <c r="O10" s="3">
        <v>5</v>
      </c>
      <c r="P10" s="8">
        <v>9</v>
      </c>
      <c r="Q10" s="8"/>
      <c r="R10" s="8"/>
      <c r="S10" s="6">
        <v>9</v>
      </c>
    </row>
    <row r="11" spans="2:19" ht="20.100000000000001" customHeight="1" x14ac:dyDescent="0.3">
      <c r="B11" s="78">
        <v>2</v>
      </c>
      <c r="C11" s="607" t="str">
        <f t="shared" si="2"/>
        <v>State-level review meetings on the progress of planned activities (9)</v>
      </c>
      <c r="D11" s="608"/>
      <c r="E11" s="608"/>
      <c r="F11" s="608"/>
      <c r="G11" s="608"/>
      <c r="H11" s="608"/>
      <c r="I11" s="608"/>
      <c r="J11" s="609"/>
      <c r="K11" s="3"/>
      <c r="L11" s="3"/>
      <c r="M11" s="3"/>
      <c r="N11" s="3"/>
      <c r="O11" s="3"/>
      <c r="P11" s="8"/>
      <c r="Q11" s="8">
        <v>9</v>
      </c>
      <c r="R11" s="8">
        <v>9</v>
      </c>
      <c r="S11" s="6">
        <v>18</v>
      </c>
    </row>
    <row r="12" spans="2:19" ht="20.100000000000001" customHeight="1" x14ac:dyDescent="0.3">
      <c r="B12" s="78">
        <v>3</v>
      </c>
      <c r="C12" s="607" t="str">
        <f t="shared" si="2"/>
        <v xml:space="preserve">National-level review meetings for lessons learned exchanges </v>
      </c>
      <c r="D12" s="608"/>
      <c r="E12" s="608"/>
      <c r="F12" s="608"/>
      <c r="G12" s="608"/>
      <c r="H12" s="608"/>
      <c r="I12" s="608"/>
      <c r="J12" s="609"/>
      <c r="K12" s="3"/>
      <c r="L12" s="3"/>
      <c r="M12" s="3"/>
      <c r="N12" s="3"/>
      <c r="O12" s="3"/>
      <c r="P12" s="8"/>
      <c r="Q12" s="8">
        <v>1</v>
      </c>
      <c r="R12" s="8">
        <v>1</v>
      </c>
      <c r="S12" s="6">
        <v>2</v>
      </c>
    </row>
    <row r="13" spans="2:19" ht="20.100000000000001" customHeight="1" x14ac:dyDescent="0.3">
      <c r="B13" s="78">
        <v>4</v>
      </c>
      <c r="C13" s="607" t="str">
        <f t="shared" si="2"/>
        <v>Strengthening monitoring and reporting capacity of BCC managers</v>
      </c>
      <c r="D13" s="608"/>
      <c r="E13" s="608"/>
      <c r="F13" s="608"/>
      <c r="G13" s="608"/>
      <c r="H13" s="608"/>
      <c r="I13" s="608"/>
      <c r="J13" s="609"/>
      <c r="K13" s="3"/>
      <c r="L13" s="3"/>
      <c r="M13" s="3"/>
      <c r="N13" s="3"/>
      <c r="O13" s="3"/>
      <c r="P13" s="8"/>
      <c r="Q13" s="8"/>
      <c r="R13" s="8"/>
      <c r="S13" s="6"/>
    </row>
    <row r="14" spans="2:19" ht="20.100000000000001" customHeight="1" x14ac:dyDescent="0.3">
      <c r="B14" s="78"/>
      <c r="C14" s="607" t="str">
        <f t="shared" si="2"/>
        <v>Regional/ State workshops</v>
      </c>
      <c r="D14" s="608"/>
      <c r="E14" s="608"/>
      <c r="F14" s="608"/>
      <c r="G14" s="608"/>
      <c r="H14" s="608"/>
      <c r="I14" s="608"/>
      <c r="J14" s="609"/>
      <c r="K14" s="3"/>
      <c r="L14" s="3"/>
      <c r="M14" s="3"/>
      <c r="N14" s="3">
        <v>4</v>
      </c>
      <c r="O14" s="3">
        <v>5</v>
      </c>
      <c r="P14" s="8">
        <v>9</v>
      </c>
      <c r="Q14" s="8"/>
      <c r="R14" s="8"/>
      <c r="S14" s="6">
        <v>9</v>
      </c>
    </row>
    <row r="15" spans="2:19" ht="20.100000000000001" customHeight="1" x14ac:dyDescent="0.3">
      <c r="B15" s="78">
        <v>6</v>
      </c>
      <c r="C15" s="607" t="str">
        <f t="shared" si="2"/>
        <v>Rapid assessment for evidence gathering in selected states</v>
      </c>
      <c r="D15" s="608"/>
      <c r="E15" s="608"/>
      <c r="F15" s="608"/>
      <c r="G15" s="608"/>
      <c r="H15" s="608"/>
      <c r="I15" s="608"/>
      <c r="J15" s="609"/>
      <c r="K15" s="3"/>
      <c r="L15" s="3"/>
      <c r="M15" s="3"/>
      <c r="N15" s="3"/>
      <c r="O15" s="3"/>
      <c r="P15" s="8"/>
      <c r="Q15" s="8">
        <v>12</v>
      </c>
      <c r="R15" s="8">
        <v>12</v>
      </c>
      <c r="S15" s="6">
        <v>24</v>
      </c>
    </row>
    <row r="16" spans="2:19" ht="20.100000000000001" customHeight="1" x14ac:dyDescent="0.3">
      <c r="B16" s="51">
        <v>7</v>
      </c>
      <c r="C16" s="607" t="str">
        <f t="shared" si="2"/>
        <v xml:space="preserve">Digital documentation of communication activities in selected states </v>
      </c>
      <c r="D16" s="608"/>
      <c r="E16" s="608"/>
      <c r="F16" s="608"/>
      <c r="G16" s="608"/>
      <c r="H16" s="608"/>
      <c r="I16" s="608"/>
      <c r="J16" s="609"/>
      <c r="K16" s="3"/>
      <c r="L16" s="3"/>
      <c r="M16" s="3"/>
      <c r="N16" s="3"/>
      <c r="O16" s="3"/>
      <c r="P16" s="8"/>
      <c r="Q16" s="8"/>
      <c r="R16" s="8">
        <v>12</v>
      </c>
      <c r="S16" s="6">
        <v>12</v>
      </c>
    </row>
    <row r="17" spans="2:19" x14ac:dyDescent="0.3">
      <c r="B17" s="70"/>
      <c r="C17" s="71"/>
      <c r="D17" s="72"/>
      <c r="E17" s="72"/>
      <c r="F17" s="72"/>
      <c r="G17" s="72"/>
      <c r="P17" s="661"/>
      <c r="Q17" s="661"/>
      <c r="R17" s="661"/>
      <c r="S17" s="2"/>
    </row>
    <row r="18" spans="2:19" s="2" customFormat="1" x14ac:dyDescent="0.3">
      <c r="L18" s="778" t="s">
        <v>26</v>
      </c>
      <c r="M18" s="778"/>
      <c r="N18" s="778"/>
      <c r="O18" s="778"/>
      <c r="P18" s="140" t="str">
        <f>P7</f>
        <v>Year 1</v>
      </c>
      <c r="Q18" s="141" t="s">
        <v>27</v>
      </c>
      <c r="R18" s="141" t="s">
        <v>28</v>
      </c>
      <c r="S18" s="86" t="s">
        <v>9</v>
      </c>
    </row>
    <row r="19" spans="2:19" x14ac:dyDescent="0.3">
      <c r="B19" s="790" t="str">
        <f>C2</f>
        <v>Implement Multi pronged national BCC strategy development and operational plans</v>
      </c>
      <c r="C19" s="790"/>
      <c r="D19" s="790"/>
      <c r="E19" s="790"/>
      <c r="F19" s="790"/>
      <c r="G19" s="790"/>
      <c r="H19" s="790"/>
      <c r="I19" s="790"/>
      <c r="J19" s="790"/>
      <c r="K19" s="3"/>
      <c r="L19" s="80" t="s">
        <v>36</v>
      </c>
      <c r="M19" s="80" t="s">
        <v>37</v>
      </c>
      <c r="N19" s="80" t="s">
        <v>38</v>
      </c>
      <c r="O19" s="80" t="s">
        <v>39</v>
      </c>
      <c r="P19" s="136" t="s">
        <v>9</v>
      </c>
      <c r="Q19" s="137" t="s">
        <v>9</v>
      </c>
      <c r="R19" s="137" t="s">
        <v>9</v>
      </c>
      <c r="S19" s="77"/>
    </row>
    <row r="20" spans="2:19" ht="28.8" x14ac:dyDescent="0.3">
      <c r="B20" s="87"/>
      <c r="C20" s="87" t="s">
        <v>145</v>
      </c>
      <c r="D20" s="87" t="s">
        <v>79</v>
      </c>
      <c r="E20" s="87" t="s">
        <v>80</v>
      </c>
      <c r="F20" s="87" t="s">
        <v>146</v>
      </c>
      <c r="G20" s="87" t="s">
        <v>147</v>
      </c>
      <c r="H20" s="87" t="s">
        <v>148</v>
      </c>
      <c r="I20" s="88" t="s">
        <v>65</v>
      </c>
      <c r="J20" s="88" t="s">
        <v>81</v>
      </c>
      <c r="K20" s="3"/>
      <c r="L20" s="89"/>
      <c r="M20" s="89"/>
      <c r="N20" s="89"/>
      <c r="O20" s="89"/>
      <c r="P20" s="137"/>
      <c r="Q20" s="137"/>
      <c r="R20" s="137"/>
      <c r="S20" s="77"/>
    </row>
    <row r="21" spans="2:19" ht="28.8" x14ac:dyDescent="0.3">
      <c r="B21" s="90">
        <v>1</v>
      </c>
      <c r="C21" s="188" t="s">
        <v>559</v>
      </c>
      <c r="D21" s="90"/>
      <c r="E21" s="91"/>
      <c r="F21" s="92"/>
      <c r="G21" s="90"/>
      <c r="H21" s="90"/>
      <c r="I21" s="93">
        <f t="shared" ref="I21:I26" si="3">E21*F21*G21*H21</f>
        <v>0</v>
      </c>
      <c r="J21" s="94">
        <f t="shared" ref="J21:J28" si="4">I21/54</f>
        <v>0</v>
      </c>
      <c r="K21" s="3"/>
      <c r="L21" s="89"/>
      <c r="M21" s="89"/>
      <c r="N21" s="89"/>
      <c r="O21" s="89"/>
      <c r="P21" s="137">
        <f>L21+M21+N21+O21</f>
        <v>0</v>
      </c>
      <c r="Q21" s="137">
        <f>J21</f>
        <v>0</v>
      </c>
      <c r="R21" s="137"/>
      <c r="S21" s="77">
        <f>P21+Q21+R21</f>
        <v>0</v>
      </c>
    </row>
    <row r="22" spans="2:19" x14ac:dyDescent="0.3">
      <c r="B22" s="90"/>
      <c r="C22" s="188" t="s">
        <v>582</v>
      </c>
      <c r="D22" s="90"/>
      <c r="E22" s="91">
        <v>1</v>
      </c>
      <c r="F22" s="92">
        <f>L85</f>
        <v>52450</v>
      </c>
      <c r="G22" s="90">
        <v>1</v>
      </c>
      <c r="H22" s="90">
        <v>40</v>
      </c>
      <c r="I22" s="93">
        <f t="shared" si="3"/>
        <v>2098000</v>
      </c>
      <c r="J22" s="94">
        <f t="shared" si="4"/>
        <v>38851.851851851854</v>
      </c>
      <c r="K22" s="3"/>
      <c r="L22" s="89"/>
      <c r="M22" s="89"/>
      <c r="N22" s="89">
        <f>J22*4</f>
        <v>155407.40740740742</v>
      </c>
      <c r="O22" s="89">
        <f>J22*5</f>
        <v>194259.25925925927</v>
      </c>
      <c r="P22" s="137">
        <f t="shared" ref="P22:P26" si="5">L22+M22+N22+O22</f>
        <v>349666.66666666669</v>
      </c>
      <c r="Q22" s="137"/>
      <c r="R22" s="137"/>
      <c r="S22" s="77">
        <f t="shared" ref="S22:S29" si="6">P22+Q22+R22</f>
        <v>349666.66666666669</v>
      </c>
    </row>
    <row r="23" spans="2:19" x14ac:dyDescent="0.3">
      <c r="B23" s="90">
        <v>2</v>
      </c>
      <c r="C23" s="188" t="s">
        <v>252</v>
      </c>
      <c r="D23" s="90"/>
      <c r="E23" s="91">
        <v>1</v>
      </c>
      <c r="F23" s="92">
        <f>L85</f>
        <v>52450</v>
      </c>
      <c r="G23" s="90">
        <v>1</v>
      </c>
      <c r="H23" s="90">
        <v>40</v>
      </c>
      <c r="I23" s="93">
        <f t="shared" si="3"/>
        <v>2098000</v>
      </c>
      <c r="J23" s="94">
        <f t="shared" si="4"/>
        <v>38851.851851851854</v>
      </c>
      <c r="K23" s="3"/>
      <c r="L23" s="89"/>
      <c r="M23" s="89"/>
      <c r="N23" s="89"/>
      <c r="O23" s="89"/>
      <c r="P23" s="137">
        <f t="shared" si="5"/>
        <v>0</v>
      </c>
      <c r="Q23" s="137">
        <f>J23*9</f>
        <v>349666.66666666669</v>
      </c>
      <c r="R23" s="137">
        <f>J23*9</f>
        <v>349666.66666666669</v>
      </c>
      <c r="S23" s="77">
        <f t="shared" si="6"/>
        <v>699333.33333333337</v>
      </c>
    </row>
    <row r="24" spans="2:19" x14ac:dyDescent="0.3">
      <c r="B24" s="90">
        <v>3</v>
      </c>
      <c r="C24" s="188" t="s">
        <v>253</v>
      </c>
      <c r="D24" s="90"/>
      <c r="E24" s="91">
        <v>1</v>
      </c>
      <c r="F24" s="92">
        <f>L60</f>
        <v>72625</v>
      </c>
      <c r="G24" s="90">
        <v>1</v>
      </c>
      <c r="H24" s="90">
        <v>40</v>
      </c>
      <c r="I24" s="93">
        <f t="shared" si="3"/>
        <v>2905000</v>
      </c>
      <c r="J24" s="94">
        <f t="shared" si="4"/>
        <v>53796.296296296299</v>
      </c>
      <c r="K24" s="3"/>
      <c r="L24" s="89"/>
      <c r="M24" s="89"/>
      <c r="N24" s="89"/>
      <c r="O24" s="89"/>
      <c r="P24" s="137">
        <f t="shared" si="5"/>
        <v>0</v>
      </c>
      <c r="Q24" s="137">
        <f>J24*1</f>
        <v>53796.296296296299</v>
      </c>
      <c r="R24" s="137">
        <f>J24*1</f>
        <v>53796.296296296299</v>
      </c>
      <c r="S24" s="77">
        <f t="shared" si="6"/>
        <v>107592.5925925926</v>
      </c>
    </row>
    <row r="25" spans="2:19" x14ac:dyDescent="0.3">
      <c r="B25" s="90">
        <v>4</v>
      </c>
      <c r="C25" s="188" t="s">
        <v>254</v>
      </c>
      <c r="D25" s="90"/>
      <c r="E25" s="90"/>
      <c r="F25" s="92"/>
      <c r="G25" s="90"/>
      <c r="H25" s="90"/>
      <c r="I25" s="93">
        <f t="shared" si="3"/>
        <v>0</v>
      </c>
      <c r="J25" s="93">
        <f t="shared" si="4"/>
        <v>0</v>
      </c>
      <c r="K25" s="3"/>
      <c r="L25" s="89"/>
      <c r="M25" s="89"/>
      <c r="N25" s="89"/>
      <c r="O25" s="89"/>
      <c r="P25" s="137">
        <f t="shared" si="5"/>
        <v>0</v>
      </c>
      <c r="Q25" s="137">
        <f>J25*50</f>
        <v>0</v>
      </c>
      <c r="R25" s="137"/>
      <c r="S25" s="77">
        <f t="shared" si="6"/>
        <v>0</v>
      </c>
    </row>
    <row r="26" spans="2:19" x14ac:dyDescent="0.3">
      <c r="B26" s="90"/>
      <c r="C26" s="188" t="s">
        <v>582</v>
      </c>
      <c r="D26" s="90"/>
      <c r="E26" s="91">
        <v>1</v>
      </c>
      <c r="F26" s="92">
        <f>L85</f>
        <v>52450</v>
      </c>
      <c r="G26" s="90">
        <v>1</v>
      </c>
      <c r="H26" s="90">
        <v>40</v>
      </c>
      <c r="I26" s="93">
        <f t="shared" si="3"/>
        <v>2098000</v>
      </c>
      <c r="J26" s="93">
        <f t="shared" si="4"/>
        <v>38851.851851851854</v>
      </c>
      <c r="K26" s="3"/>
      <c r="L26" s="89"/>
      <c r="M26" s="89"/>
      <c r="N26" s="89">
        <f>J26*4</f>
        <v>155407.40740740742</v>
      </c>
      <c r="O26" s="89">
        <f>J26*5</f>
        <v>194259.25925925927</v>
      </c>
      <c r="P26" s="137">
        <f t="shared" si="5"/>
        <v>349666.66666666669</v>
      </c>
      <c r="Q26" s="137"/>
      <c r="R26" s="181"/>
      <c r="S26" s="77">
        <f t="shared" si="6"/>
        <v>349666.66666666669</v>
      </c>
    </row>
    <row r="27" spans="2:19" x14ac:dyDescent="0.3">
      <c r="B27" s="90">
        <v>6</v>
      </c>
      <c r="C27" s="188" t="s">
        <v>583</v>
      </c>
      <c r="D27" s="90"/>
      <c r="E27" s="91">
        <v>1</v>
      </c>
      <c r="F27" s="92">
        <f>I115</f>
        <v>242750</v>
      </c>
      <c r="G27" s="90">
        <v>1</v>
      </c>
      <c r="H27" s="90">
        <v>1</v>
      </c>
      <c r="I27" s="93">
        <f>E27*F27*G27*H27</f>
        <v>242750</v>
      </c>
      <c r="J27" s="93">
        <f t="shared" si="4"/>
        <v>4495.3703703703704</v>
      </c>
      <c r="K27" s="3"/>
      <c r="L27" s="89"/>
      <c r="M27" s="89"/>
      <c r="N27" s="89"/>
      <c r="O27" s="89"/>
      <c r="P27" s="137"/>
      <c r="Q27" s="181">
        <f>J27*12</f>
        <v>53944.444444444445</v>
      </c>
      <c r="R27" s="181">
        <f>J27*12</f>
        <v>53944.444444444445</v>
      </c>
      <c r="S27" s="77">
        <f t="shared" si="6"/>
        <v>107888.88888888889</v>
      </c>
    </row>
    <row r="28" spans="2:19" ht="15" thickBot="1" x14ac:dyDescent="0.35">
      <c r="B28" s="90">
        <v>7</v>
      </c>
      <c r="C28" s="189" t="s">
        <v>584</v>
      </c>
      <c r="D28" s="90"/>
      <c r="E28" s="91">
        <v>1</v>
      </c>
      <c r="F28" s="92">
        <v>1000000</v>
      </c>
      <c r="G28" s="90">
        <v>1</v>
      </c>
      <c r="H28" s="90">
        <v>1</v>
      </c>
      <c r="I28" s="93">
        <f>E28*F28*G28*H28</f>
        <v>1000000</v>
      </c>
      <c r="J28" s="93">
        <f t="shared" si="4"/>
        <v>18518.518518518518</v>
      </c>
      <c r="K28" s="3"/>
      <c r="L28" s="89"/>
      <c r="M28" s="89"/>
      <c r="N28" s="89"/>
      <c r="O28" s="89"/>
      <c r="P28" s="137"/>
      <c r="Q28" s="137"/>
      <c r="R28" s="137">
        <f>J28*12</f>
        <v>222222.22222222222</v>
      </c>
      <c r="S28" s="77">
        <f t="shared" si="6"/>
        <v>222222.22222222222</v>
      </c>
    </row>
    <row r="29" spans="2:19" x14ac:dyDescent="0.3">
      <c r="B29" s="90"/>
      <c r="C29" s="159"/>
      <c r="D29" s="90"/>
      <c r="E29" s="91"/>
      <c r="F29" s="92"/>
      <c r="G29" s="90"/>
      <c r="H29" s="90"/>
      <c r="I29" s="93"/>
      <c r="J29" s="93"/>
      <c r="K29" s="3"/>
      <c r="L29" s="89"/>
      <c r="M29" s="89"/>
      <c r="N29" s="89"/>
      <c r="O29" s="89"/>
      <c r="P29" s="137"/>
      <c r="Q29" s="137"/>
      <c r="R29" s="181"/>
      <c r="S29" s="77">
        <f t="shared" si="6"/>
        <v>0</v>
      </c>
    </row>
    <row r="30" spans="2:19" s="97" customFormat="1" x14ac:dyDescent="0.3">
      <c r="B30" s="98"/>
      <c r="C30" s="98" t="s">
        <v>56</v>
      </c>
      <c r="D30" s="98"/>
      <c r="E30" s="98"/>
      <c r="F30" s="98"/>
      <c r="G30" s="98"/>
      <c r="H30" s="98"/>
      <c r="I30" s="99"/>
      <c r="J30" s="99"/>
      <c r="K30" s="98"/>
      <c r="L30" s="100">
        <f>L21+L22+L23+L24+L25+L26+L27+L28+L29</f>
        <v>0</v>
      </c>
      <c r="M30" s="100">
        <f t="shared" ref="M30:S30" si="7">M21+M22+M23+M24+M25+M26+M27+M28+M29</f>
        <v>0</v>
      </c>
      <c r="N30" s="100">
        <f t="shared" si="7"/>
        <v>310814.81481481483</v>
      </c>
      <c r="O30" s="100">
        <f t="shared" si="7"/>
        <v>388518.51851851854</v>
      </c>
      <c r="P30" s="100">
        <f t="shared" si="7"/>
        <v>699333.33333333337</v>
      </c>
      <c r="Q30" s="100">
        <f t="shared" si="7"/>
        <v>457407.40740740742</v>
      </c>
      <c r="R30" s="100">
        <f t="shared" si="7"/>
        <v>679629.62962962966</v>
      </c>
      <c r="S30" s="100">
        <f t="shared" si="7"/>
        <v>1836370.3703703706</v>
      </c>
    </row>
    <row r="31" spans="2:19" s="383" customFormat="1" x14ac:dyDescent="0.3">
      <c r="B31" s="384"/>
      <c r="C31" s="384"/>
      <c r="D31" s="384"/>
      <c r="E31" s="384"/>
      <c r="F31" s="384"/>
      <c r="G31" s="384"/>
      <c r="H31" s="384"/>
      <c r="I31" s="385"/>
      <c r="J31" s="385"/>
      <c r="K31" s="384"/>
      <c r="L31" s="386"/>
      <c r="M31" s="386"/>
      <c r="N31" s="386"/>
      <c r="O31" s="386"/>
      <c r="P31" s="386"/>
      <c r="Q31" s="386"/>
      <c r="R31" s="386"/>
      <c r="S31" s="386"/>
    </row>
    <row r="32" spans="2:19" s="148" customFormat="1" x14ac:dyDescent="0.3">
      <c r="B32" s="779" t="s">
        <v>59</v>
      </c>
      <c r="C32" s="780"/>
      <c r="D32" s="780"/>
      <c r="E32" s="780"/>
      <c r="F32" s="780"/>
      <c r="G32" s="780"/>
      <c r="H32" s="780"/>
      <c r="I32" s="780"/>
      <c r="J32" s="781"/>
      <c r="L32" s="782" t="s">
        <v>26</v>
      </c>
      <c r="M32" s="782"/>
      <c r="N32" s="782"/>
      <c r="O32" s="782"/>
      <c r="P32" s="75">
        <f>P26</f>
        <v>349666.66666666669</v>
      </c>
      <c r="Q32" s="76" t="s">
        <v>27</v>
      </c>
      <c r="R32" s="76" t="s">
        <v>28</v>
      </c>
      <c r="S32" s="77" t="s">
        <v>9</v>
      </c>
    </row>
    <row r="33" spans="1:19" s="148" customFormat="1" x14ac:dyDescent="0.3">
      <c r="B33" s="378"/>
      <c r="C33" s="378"/>
      <c r="D33" s="378"/>
      <c r="E33" s="356"/>
      <c r="F33" s="378"/>
      <c r="G33" s="378"/>
      <c r="H33" s="379"/>
      <c r="I33" s="380"/>
      <c r="J33" s="380"/>
      <c r="L33" s="80" t="s">
        <v>36</v>
      </c>
      <c r="M33" s="80" t="s">
        <v>37</v>
      </c>
      <c r="N33" s="80" t="s">
        <v>38</v>
      </c>
      <c r="O33" s="80" t="s">
        <v>39</v>
      </c>
      <c r="P33" s="75" t="s">
        <v>9</v>
      </c>
      <c r="Q33" s="81" t="s">
        <v>9</v>
      </c>
      <c r="R33" s="81" t="s">
        <v>9</v>
      </c>
      <c r="S33" s="77"/>
    </row>
    <row r="34" spans="1:19" s="148" customFormat="1" x14ac:dyDescent="0.3">
      <c r="B34" s="378">
        <f>B2</f>
        <v>3.1</v>
      </c>
      <c r="C34" s="378" t="str">
        <f>C2</f>
        <v>Implement Multi pronged national BCC strategy development and operational plans</v>
      </c>
      <c r="D34" s="378"/>
      <c r="E34" s="356"/>
      <c r="F34" s="378"/>
      <c r="G34" s="378"/>
      <c r="H34" s="379"/>
      <c r="I34" s="380"/>
      <c r="J34" s="380"/>
      <c r="L34" s="381">
        <f>L30</f>
        <v>0</v>
      </c>
      <c r="M34" s="381">
        <f t="shared" ref="M34:S34" si="8">M30</f>
        <v>0</v>
      </c>
      <c r="N34" s="381">
        <f t="shared" si="8"/>
        <v>310814.81481481483</v>
      </c>
      <c r="O34" s="381">
        <f t="shared" si="8"/>
        <v>388518.51851851854</v>
      </c>
      <c r="P34" s="381">
        <f t="shared" si="8"/>
        <v>699333.33333333337</v>
      </c>
      <c r="Q34" s="381">
        <f t="shared" si="8"/>
        <v>457407.40740740742</v>
      </c>
      <c r="R34" s="381">
        <f t="shared" si="8"/>
        <v>679629.62962962966</v>
      </c>
      <c r="S34" s="381">
        <f t="shared" si="8"/>
        <v>1836370.3703703706</v>
      </c>
    </row>
    <row r="36" spans="1:19" x14ac:dyDescent="0.3">
      <c r="B36" s="783" t="s">
        <v>61</v>
      </c>
      <c r="C36" s="783"/>
      <c r="D36" s="783"/>
      <c r="E36" s="783"/>
      <c r="F36" s="783"/>
      <c r="G36" s="783"/>
      <c r="H36" s="783"/>
      <c r="I36" s="783"/>
      <c r="J36" s="783"/>
    </row>
    <row r="38" spans="1:19" x14ac:dyDescent="0.3">
      <c r="A38" s="772" t="s">
        <v>560</v>
      </c>
      <c r="B38" s="773"/>
      <c r="C38" s="773"/>
      <c r="D38" s="773"/>
      <c r="E38" s="773"/>
      <c r="F38" s="773"/>
      <c r="G38" s="773"/>
      <c r="H38" s="773"/>
      <c r="I38" s="773"/>
      <c r="J38" s="773"/>
    </row>
    <row r="39" spans="1:19" x14ac:dyDescent="0.3">
      <c r="A39" s="26"/>
      <c r="B39" s="26"/>
      <c r="C39" s="26" t="s">
        <v>4</v>
      </c>
      <c r="D39" s="26" t="s">
        <v>79</v>
      </c>
      <c r="E39" s="26" t="s">
        <v>80</v>
      </c>
      <c r="F39" s="26" t="s">
        <v>50</v>
      </c>
      <c r="G39" s="26" t="s">
        <v>57</v>
      </c>
      <c r="H39" s="27" t="s">
        <v>53</v>
      </c>
      <c r="I39" s="28" t="s">
        <v>65</v>
      </c>
      <c r="J39" s="28" t="s">
        <v>81</v>
      </c>
    </row>
    <row r="40" spans="1:19" x14ac:dyDescent="0.3">
      <c r="A40" s="774" t="s">
        <v>169</v>
      </c>
      <c r="B40" s="775"/>
      <c r="C40" s="775"/>
      <c r="D40" s="776"/>
      <c r="E40" s="107"/>
      <c r="F40" s="107"/>
      <c r="G40" s="107"/>
      <c r="H40" s="108"/>
      <c r="I40" s="107"/>
      <c r="J40" s="107"/>
    </row>
    <row r="41" spans="1:19" x14ac:dyDescent="0.3">
      <c r="A41" s="3">
        <v>1</v>
      </c>
      <c r="B41" s="3" t="s">
        <v>170</v>
      </c>
      <c r="C41" s="3"/>
      <c r="D41" s="3"/>
      <c r="E41" s="3"/>
      <c r="F41" s="3"/>
      <c r="G41" s="3"/>
      <c r="H41" s="16"/>
      <c r="I41" s="3"/>
      <c r="J41" s="3"/>
    </row>
    <row r="42" spans="1:19" x14ac:dyDescent="0.3">
      <c r="A42" s="3"/>
      <c r="B42" s="3" t="s">
        <v>84</v>
      </c>
      <c r="C42" s="3"/>
      <c r="D42" s="3" t="s">
        <v>85</v>
      </c>
      <c r="E42" s="3">
        <v>4</v>
      </c>
      <c r="F42" s="111">
        <v>15000</v>
      </c>
      <c r="G42" s="3">
        <v>4</v>
      </c>
      <c r="H42" s="16">
        <v>1</v>
      </c>
      <c r="I42" s="24">
        <f>E42*F42*G42*H42</f>
        <v>240000</v>
      </c>
      <c r="J42" s="112">
        <f>I42/54</f>
        <v>4444.4444444444443</v>
      </c>
    </row>
    <row r="43" spans="1:19" x14ac:dyDescent="0.3">
      <c r="A43" s="3"/>
      <c r="B43" s="3" t="s">
        <v>86</v>
      </c>
      <c r="C43" s="3" t="s">
        <v>87</v>
      </c>
      <c r="D43" s="3"/>
      <c r="E43" s="3"/>
      <c r="F43" s="111"/>
      <c r="G43" s="3"/>
      <c r="H43" s="16"/>
      <c r="I43" s="3"/>
      <c r="J43" s="112">
        <f t="shared" ref="J43:J47" si="9">I43/54</f>
        <v>0</v>
      </c>
    </row>
    <row r="44" spans="1:19" x14ac:dyDescent="0.3">
      <c r="A44" s="3"/>
      <c r="B44" s="3"/>
      <c r="C44" s="3" t="s">
        <v>88</v>
      </c>
      <c r="D44" s="3"/>
      <c r="E44" s="79">
        <v>4</v>
      </c>
      <c r="F44" s="111">
        <v>20000</v>
      </c>
      <c r="G44" s="3">
        <v>1</v>
      </c>
      <c r="H44" s="16">
        <v>1</v>
      </c>
      <c r="I44" s="24">
        <f>E44*F44*G44*H44</f>
        <v>80000</v>
      </c>
      <c r="J44" s="112">
        <f t="shared" si="9"/>
        <v>1481.4814814814815</v>
      </c>
    </row>
    <row r="45" spans="1:19" x14ac:dyDescent="0.3">
      <c r="A45" s="3"/>
      <c r="B45" s="3"/>
      <c r="C45" s="3" t="s">
        <v>89</v>
      </c>
      <c r="D45" s="3"/>
      <c r="E45" s="79">
        <v>4</v>
      </c>
      <c r="F45" s="111">
        <v>2500</v>
      </c>
      <c r="G45" s="3">
        <v>4</v>
      </c>
      <c r="H45" s="16">
        <v>1</v>
      </c>
      <c r="I45" s="24">
        <f>E45*F45*G45*H45</f>
        <v>40000</v>
      </c>
      <c r="J45" s="112">
        <f t="shared" si="9"/>
        <v>740.74074074074076</v>
      </c>
    </row>
    <row r="46" spans="1:19" x14ac:dyDescent="0.3">
      <c r="A46" s="3"/>
      <c r="B46" s="3"/>
      <c r="C46" s="3" t="s">
        <v>90</v>
      </c>
      <c r="D46" s="3"/>
      <c r="E46" s="79">
        <v>4</v>
      </c>
      <c r="F46" s="111">
        <v>10000</v>
      </c>
      <c r="G46" s="3">
        <v>4</v>
      </c>
      <c r="H46" s="16">
        <v>1</v>
      </c>
      <c r="I46" s="24">
        <f>E46*F46*G46*H46</f>
        <v>160000</v>
      </c>
      <c r="J46" s="112">
        <f t="shared" si="9"/>
        <v>2962.962962962963</v>
      </c>
    </row>
    <row r="47" spans="1:19" x14ac:dyDescent="0.3">
      <c r="A47" s="3"/>
      <c r="B47" s="3"/>
      <c r="C47" s="3"/>
      <c r="D47" s="82" t="s">
        <v>10</v>
      </c>
      <c r="E47" s="82"/>
      <c r="F47" s="122"/>
      <c r="G47" s="82"/>
      <c r="H47" s="123"/>
      <c r="I47" s="121">
        <f>SUM(I42:I46)</f>
        <v>520000</v>
      </c>
      <c r="J47" s="121">
        <f t="shared" si="9"/>
        <v>9629.6296296296296</v>
      </c>
    </row>
    <row r="48" spans="1:19" x14ac:dyDescent="0.3">
      <c r="A48" s="96"/>
      <c r="B48" s="96"/>
      <c r="C48" s="96"/>
      <c r="D48" s="96"/>
      <c r="E48" s="96"/>
      <c r="F48" s="124"/>
      <c r="G48" s="96"/>
      <c r="H48" s="125"/>
      <c r="I48" s="126"/>
      <c r="J48" s="96"/>
    </row>
    <row r="49" spans="1:12" x14ac:dyDescent="0.3">
      <c r="A49" s="769" t="s">
        <v>91</v>
      </c>
      <c r="B49" s="770"/>
      <c r="C49" s="770"/>
      <c r="D49" s="771"/>
      <c r="E49" s="127"/>
      <c r="F49" s="128"/>
      <c r="G49" s="127"/>
      <c r="H49" s="129"/>
      <c r="I49" s="127"/>
      <c r="J49" s="127"/>
    </row>
    <row r="50" spans="1:12" x14ac:dyDescent="0.3">
      <c r="A50" s="3"/>
      <c r="B50" s="3" t="s">
        <v>92</v>
      </c>
      <c r="C50" s="3" t="s">
        <v>93</v>
      </c>
      <c r="D50" s="3"/>
      <c r="E50" s="3">
        <v>40</v>
      </c>
      <c r="F50" s="111">
        <v>2000</v>
      </c>
      <c r="G50" s="3">
        <v>3</v>
      </c>
      <c r="H50" s="16">
        <v>1</v>
      </c>
      <c r="I50" s="24">
        <f t="shared" ref="I50:I57" si="10">E50*F50*G50*H50</f>
        <v>240000</v>
      </c>
      <c r="J50" s="24">
        <f>I50/54</f>
        <v>4444.4444444444443</v>
      </c>
    </row>
    <row r="51" spans="1:12" x14ac:dyDescent="0.3">
      <c r="A51" s="3"/>
      <c r="B51" s="3" t="s">
        <v>86</v>
      </c>
      <c r="C51" s="3" t="s">
        <v>94</v>
      </c>
      <c r="D51" s="3"/>
      <c r="E51" s="3">
        <v>30</v>
      </c>
      <c r="F51" s="111">
        <v>20000</v>
      </c>
      <c r="G51" s="3">
        <v>1</v>
      </c>
      <c r="H51" s="16">
        <v>1</v>
      </c>
      <c r="I51" s="24">
        <f t="shared" si="10"/>
        <v>600000</v>
      </c>
      <c r="J51" s="24">
        <f t="shared" ref="J51:J57" si="11">I51/54</f>
        <v>11111.111111111111</v>
      </c>
    </row>
    <row r="52" spans="1:12" x14ac:dyDescent="0.3">
      <c r="A52" s="3"/>
      <c r="B52" s="3" t="s">
        <v>95</v>
      </c>
      <c r="C52" s="3" t="s">
        <v>96</v>
      </c>
      <c r="D52" s="3"/>
      <c r="E52" s="3">
        <v>30</v>
      </c>
      <c r="F52" s="111">
        <v>10000</v>
      </c>
      <c r="G52" s="3">
        <v>3</v>
      </c>
      <c r="H52" s="16">
        <v>1</v>
      </c>
      <c r="I52" s="24">
        <f t="shared" si="10"/>
        <v>900000</v>
      </c>
      <c r="J52" s="24">
        <f t="shared" si="11"/>
        <v>16666.666666666668</v>
      </c>
    </row>
    <row r="53" spans="1:12" x14ac:dyDescent="0.3">
      <c r="A53" s="3"/>
      <c r="B53" s="3" t="s">
        <v>97</v>
      </c>
      <c r="C53" s="3" t="s">
        <v>171</v>
      </c>
      <c r="D53" s="3" t="s">
        <v>172</v>
      </c>
      <c r="E53" s="3">
        <v>40</v>
      </c>
      <c r="F53" s="111">
        <v>2500</v>
      </c>
      <c r="G53" s="3">
        <v>3</v>
      </c>
      <c r="H53" s="16">
        <v>1</v>
      </c>
      <c r="I53" s="24">
        <f t="shared" si="10"/>
        <v>300000</v>
      </c>
      <c r="J53" s="24">
        <f t="shared" si="11"/>
        <v>5555.5555555555557</v>
      </c>
    </row>
    <row r="54" spans="1:12" x14ac:dyDescent="0.3">
      <c r="A54" s="3"/>
      <c r="B54" s="3" t="s">
        <v>99</v>
      </c>
      <c r="C54" s="3" t="s">
        <v>100</v>
      </c>
      <c r="D54" s="3"/>
      <c r="E54" s="3">
        <v>1</v>
      </c>
      <c r="F54" s="111">
        <v>45000</v>
      </c>
      <c r="G54" s="3">
        <v>3</v>
      </c>
      <c r="H54" s="16">
        <v>1</v>
      </c>
      <c r="I54" s="24">
        <f t="shared" si="10"/>
        <v>135000</v>
      </c>
      <c r="J54" s="24">
        <f t="shared" si="11"/>
        <v>2500</v>
      </c>
    </row>
    <row r="55" spans="1:12" x14ac:dyDescent="0.3">
      <c r="A55" s="3"/>
      <c r="B55" s="3" t="s">
        <v>101</v>
      </c>
      <c r="C55" s="3" t="s">
        <v>102</v>
      </c>
      <c r="D55" s="3"/>
      <c r="E55" s="3">
        <v>1</v>
      </c>
      <c r="F55" s="111">
        <v>25000</v>
      </c>
      <c r="G55" s="3">
        <v>3</v>
      </c>
      <c r="H55" s="16">
        <v>1</v>
      </c>
      <c r="I55" s="24">
        <f t="shared" si="10"/>
        <v>75000</v>
      </c>
      <c r="J55" s="24">
        <f t="shared" si="11"/>
        <v>1388.8888888888889</v>
      </c>
    </row>
    <row r="56" spans="1:12" x14ac:dyDescent="0.3">
      <c r="A56" s="3"/>
      <c r="B56" s="3" t="s">
        <v>103</v>
      </c>
      <c r="C56" s="3" t="s">
        <v>104</v>
      </c>
      <c r="D56" s="3" t="s">
        <v>105</v>
      </c>
      <c r="E56" s="3">
        <v>1</v>
      </c>
      <c r="F56" s="111">
        <v>25000</v>
      </c>
      <c r="G56" s="3">
        <v>3</v>
      </c>
      <c r="H56" s="16">
        <v>1</v>
      </c>
      <c r="I56" s="24">
        <f t="shared" si="10"/>
        <v>75000</v>
      </c>
      <c r="J56" s="24">
        <f t="shared" si="11"/>
        <v>1388.8888888888889</v>
      </c>
    </row>
    <row r="57" spans="1:12" x14ac:dyDescent="0.3">
      <c r="A57" s="3"/>
      <c r="B57" s="3" t="s">
        <v>106</v>
      </c>
      <c r="C57" s="3" t="s">
        <v>107</v>
      </c>
      <c r="D57" s="3"/>
      <c r="E57" s="3">
        <v>40</v>
      </c>
      <c r="F57" s="111">
        <v>500</v>
      </c>
      <c r="G57" s="3">
        <v>3</v>
      </c>
      <c r="H57" s="16">
        <v>1</v>
      </c>
      <c r="I57" s="24">
        <f t="shared" si="10"/>
        <v>60000</v>
      </c>
      <c r="J57" s="24">
        <f t="shared" si="11"/>
        <v>1111.1111111111111</v>
      </c>
    </row>
    <row r="58" spans="1:12" x14ac:dyDescent="0.3">
      <c r="A58" s="3"/>
      <c r="B58" s="3"/>
      <c r="C58" s="3"/>
      <c r="D58" s="82" t="s">
        <v>10</v>
      </c>
      <c r="E58" s="82"/>
      <c r="F58" s="122"/>
      <c r="G58" s="82"/>
      <c r="H58" s="123"/>
      <c r="I58" s="121">
        <f>SUM(I50:I57)</f>
        <v>2385000</v>
      </c>
      <c r="J58" s="121">
        <f>SUM(J50:J57)</f>
        <v>44166.666666666672</v>
      </c>
    </row>
    <row r="59" spans="1:12" x14ac:dyDescent="0.3">
      <c r="A59" s="3"/>
      <c r="B59" s="3"/>
      <c r="C59" s="3"/>
      <c r="D59" s="3"/>
      <c r="E59" s="3"/>
      <c r="F59" s="3"/>
      <c r="G59" s="3"/>
      <c r="H59" s="16"/>
      <c r="I59" s="3"/>
      <c r="J59" s="3"/>
    </row>
    <row r="60" spans="1:12" x14ac:dyDescent="0.3">
      <c r="A60" s="3"/>
      <c r="B60" s="3"/>
      <c r="C60" s="3"/>
      <c r="D60" s="83" t="s">
        <v>19</v>
      </c>
      <c r="E60" s="83"/>
      <c r="F60" s="83"/>
      <c r="G60" s="83"/>
      <c r="H60" s="131"/>
      <c r="I60" s="132">
        <f>I47+I58</f>
        <v>2905000</v>
      </c>
      <c r="J60" s="132">
        <f>J47+J58</f>
        <v>53796.296296296299</v>
      </c>
      <c r="L60" s="134">
        <f>I60/40</f>
        <v>72625</v>
      </c>
    </row>
    <row r="63" spans="1:12" x14ac:dyDescent="0.3">
      <c r="A63" s="772" t="s">
        <v>255</v>
      </c>
      <c r="B63" s="773"/>
      <c r="C63" s="773"/>
      <c r="D63" s="773"/>
      <c r="E63" s="773"/>
      <c r="F63" s="773"/>
      <c r="G63" s="773"/>
      <c r="H63" s="773"/>
      <c r="I63" s="773"/>
      <c r="J63" s="773"/>
    </row>
    <row r="64" spans="1:12" x14ac:dyDescent="0.3">
      <c r="A64" s="26"/>
      <c r="B64" s="26"/>
      <c r="C64" s="26" t="s">
        <v>4</v>
      </c>
      <c r="D64" s="26" t="s">
        <v>79</v>
      </c>
      <c r="E64" s="26" t="s">
        <v>80</v>
      </c>
      <c r="F64" s="26" t="s">
        <v>50</v>
      </c>
      <c r="G64" s="26" t="s">
        <v>57</v>
      </c>
      <c r="H64" s="27" t="s">
        <v>53</v>
      </c>
      <c r="I64" s="28" t="s">
        <v>65</v>
      </c>
      <c r="J64" s="28" t="s">
        <v>81</v>
      </c>
    </row>
    <row r="65" spans="1:10" x14ac:dyDescent="0.3">
      <c r="A65" s="774"/>
      <c r="B65" s="775"/>
      <c r="C65" s="775"/>
      <c r="D65" s="776"/>
      <c r="E65" s="107"/>
      <c r="F65" s="107"/>
      <c r="G65" s="107"/>
      <c r="H65" s="108"/>
      <c r="I65" s="107"/>
      <c r="J65" s="107"/>
    </row>
    <row r="66" spans="1:10" x14ac:dyDescent="0.3">
      <c r="A66" s="3">
        <v>1</v>
      </c>
      <c r="B66" s="3" t="s">
        <v>108</v>
      </c>
      <c r="C66" s="3"/>
      <c r="D66" s="3"/>
      <c r="E66" s="3"/>
      <c r="F66" s="3"/>
      <c r="G66" s="3"/>
      <c r="H66" s="16"/>
      <c r="I66" s="3"/>
      <c r="J66" s="3"/>
    </row>
    <row r="67" spans="1:10" x14ac:dyDescent="0.3">
      <c r="A67" s="3"/>
      <c r="B67" s="3" t="s">
        <v>84</v>
      </c>
      <c r="C67" s="3"/>
      <c r="D67" s="3" t="s">
        <v>85</v>
      </c>
      <c r="E67" s="3">
        <v>4</v>
      </c>
      <c r="F67" s="111">
        <v>15000</v>
      </c>
      <c r="G67" s="3">
        <v>4</v>
      </c>
      <c r="H67" s="16">
        <v>1</v>
      </c>
      <c r="I67" s="24">
        <f>E67*F67*G67*H67</f>
        <v>240000</v>
      </c>
      <c r="J67" s="112">
        <f>I67/54</f>
        <v>4444.4444444444443</v>
      </c>
    </row>
    <row r="68" spans="1:10" x14ac:dyDescent="0.3">
      <c r="A68" s="3"/>
      <c r="B68" s="3" t="s">
        <v>86</v>
      </c>
      <c r="C68" s="3" t="s">
        <v>87</v>
      </c>
      <c r="D68" s="3"/>
      <c r="E68" s="3"/>
      <c r="F68" s="111"/>
      <c r="G68" s="3"/>
      <c r="H68" s="16"/>
      <c r="I68" s="3"/>
      <c r="J68" s="112">
        <f t="shared" ref="J68:J71" si="12">I68/54</f>
        <v>0</v>
      </c>
    </row>
    <row r="69" spans="1:10" x14ac:dyDescent="0.3">
      <c r="A69" s="3"/>
      <c r="B69" s="3"/>
      <c r="C69" s="3" t="s">
        <v>88</v>
      </c>
      <c r="D69" s="3"/>
      <c r="E69" s="79">
        <v>4</v>
      </c>
      <c r="F69" s="111">
        <v>20000</v>
      </c>
      <c r="G69" s="3">
        <v>1</v>
      </c>
      <c r="H69" s="16">
        <v>1</v>
      </c>
      <c r="I69" s="24">
        <f>E69*F69*G69*H69</f>
        <v>80000</v>
      </c>
      <c r="J69" s="112">
        <f t="shared" si="12"/>
        <v>1481.4814814814815</v>
      </c>
    </row>
    <row r="70" spans="1:10" x14ac:dyDescent="0.3">
      <c r="A70" s="3"/>
      <c r="B70" s="3"/>
      <c r="C70" s="3" t="s">
        <v>89</v>
      </c>
      <c r="D70" s="3"/>
      <c r="E70" s="79">
        <v>4</v>
      </c>
      <c r="F70" s="111">
        <v>2500</v>
      </c>
      <c r="G70" s="3">
        <v>4</v>
      </c>
      <c r="H70" s="16">
        <v>1</v>
      </c>
      <c r="I70" s="24">
        <f>E70*F70*G70*H70</f>
        <v>40000</v>
      </c>
      <c r="J70" s="112">
        <f t="shared" si="12"/>
        <v>740.74074074074076</v>
      </c>
    </row>
    <row r="71" spans="1:10" x14ac:dyDescent="0.3">
      <c r="A71" s="3"/>
      <c r="B71" s="3"/>
      <c r="C71" s="3" t="s">
        <v>90</v>
      </c>
      <c r="D71" s="3"/>
      <c r="E71" s="79">
        <v>4</v>
      </c>
      <c r="F71" s="111">
        <v>10000</v>
      </c>
      <c r="G71" s="3">
        <v>4</v>
      </c>
      <c r="H71" s="16">
        <v>1</v>
      </c>
      <c r="I71" s="24">
        <f>E71*F71*G71*H71</f>
        <v>160000</v>
      </c>
      <c r="J71" s="112">
        <f t="shared" si="12"/>
        <v>2962.962962962963</v>
      </c>
    </row>
    <row r="72" spans="1:10" x14ac:dyDescent="0.3">
      <c r="A72" s="3"/>
      <c r="B72" s="3"/>
      <c r="C72" s="3"/>
      <c r="D72" s="82" t="s">
        <v>10</v>
      </c>
      <c r="E72" s="82"/>
      <c r="F72" s="122"/>
      <c r="G72" s="82"/>
      <c r="H72" s="123"/>
      <c r="I72" s="121">
        <f>SUM(I67:I71)</f>
        <v>520000</v>
      </c>
      <c r="J72" s="121">
        <f>SUM(J67:J71)</f>
        <v>9629.6296296296296</v>
      </c>
    </row>
    <row r="73" spans="1:10" x14ac:dyDescent="0.3">
      <c r="A73" s="96"/>
      <c r="B73" s="96"/>
      <c r="C73" s="96"/>
      <c r="D73" s="96"/>
      <c r="E73" s="96"/>
      <c r="F73" s="124"/>
      <c r="G73" s="96"/>
      <c r="H73" s="125"/>
      <c r="I73" s="126"/>
      <c r="J73" s="96"/>
    </row>
    <row r="74" spans="1:10" x14ac:dyDescent="0.3">
      <c r="A74" s="769" t="s">
        <v>91</v>
      </c>
      <c r="B74" s="770"/>
      <c r="C74" s="770"/>
      <c r="D74" s="771"/>
      <c r="E74" s="127"/>
      <c r="F74" s="128"/>
      <c r="G74" s="127"/>
      <c r="H74" s="129"/>
      <c r="I74" s="127"/>
      <c r="J74" s="127"/>
    </row>
    <row r="75" spans="1:10" x14ac:dyDescent="0.3">
      <c r="A75" s="3"/>
      <c r="B75" s="3" t="s">
        <v>92</v>
      </c>
      <c r="C75" s="3" t="s">
        <v>93</v>
      </c>
      <c r="D75" s="3"/>
      <c r="E75" s="3">
        <v>40</v>
      </c>
      <c r="F75" s="111">
        <v>1000</v>
      </c>
      <c r="G75" s="3">
        <v>3</v>
      </c>
      <c r="H75" s="16">
        <v>1</v>
      </c>
      <c r="I75" s="24">
        <f t="shared" ref="I75:I82" si="13">E75*F75*G75*H75</f>
        <v>120000</v>
      </c>
      <c r="J75" s="133">
        <f>I75/54</f>
        <v>2222.2222222222222</v>
      </c>
    </row>
    <row r="76" spans="1:10" x14ac:dyDescent="0.3">
      <c r="A76" s="3"/>
      <c r="B76" s="3" t="s">
        <v>86</v>
      </c>
      <c r="C76" s="3" t="s">
        <v>94</v>
      </c>
      <c r="D76" s="3" t="s">
        <v>110</v>
      </c>
      <c r="E76" s="3">
        <v>30</v>
      </c>
      <c r="F76" s="111">
        <v>5000</v>
      </c>
      <c r="G76" s="3">
        <v>1</v>
      </c>
      <c r="H76" s="16">
        <v>1</v>
      </c>
      <c r="I76" s="24">
        <f t="shared" si="13"/>
        <v>150000</v>
      </c>
      <c r="J76" s="133">
        <f t="shared" ref="J76:J83" si="14">I76/54</f>
        <v>2777.7777777777778</v>
      </c>
    </row>
    <row r="77" spans="1:10" x14ac:dyDescent="0.3">
      <c r="A77" s="3"/>
      <c r="B77" s="3" t="s">
        <v>95</v>
      </c>
      <c r="C77" s="3" t="s">
        <v>96</v>
      </c>
      <c r="D77" s="3" t="s">
        <v>110</v>
      </c>
      <c r="E77" s="3">
        <v>30</v>
      </c>
      <c r="F77" s="111">
        <v>10000</v>
      </c>
      <c r="G77" s="3">
        <v>3</v>
      </c>
      <c r="H77" s="16">
        <v>1</v>
      </c>
      <c r="I77" s="24">
        <f t="shared" si="13"/>
        <v>900000</v>
      </c>
      <c r="J77" s="133">
        <f t="shared" si="14"/>
        <v>16666.666666666668</v>
      </c>
    </row>
    <row r="78" spans="1:10" x14ac:dyDescent="0.3">
      <c r="A78" s="3"/>
      <c r="B78" s="3" t="s">
        <v>97</v>
      </c>
      <c r="C78" s="3" t="s">
        <v>171</v>
      </c>
      <c r="D78" s="3" t="s">
        <v>110</v>
      </c>
      <c r="E78" s="3">
        <v>40</v>
      </c>
      <c r="F78" s="111">
        <v>1500</v>
      </c>
      <c r="G78" s="3">
        <v>3</v>
      </c>
      <c r="H78" s="16">
        <v>1</v>
      </c>
      <c r="I78" s="24">
        <f t="shared" si="13"/>
        <v>180000</v>
      </c>
      <c r="J78" s="133">
        <f t="shared" si="14"/>
        <v>3333.3333333333335</v>
      </c>
    </row>
    <row r="79" spans="1:10" x14ac:dyDescent="0.3">
      <c r="A79" s="3"/>
      <c r="B79" s="3" t="s">
        <v>99</v>
      </c>
      <c r="C79" s="3" t="s">
        <v>100</v>
      </c>
      <c r="D79" s="3" t="s">
        <v>112</v>
      </c>
      <c r="E79" s="3">
        <v>1</v>
      </c>
      <c r="F79" s="111">
        <v>10000</v>
      </c>
      <c r="G79" s="3">
        <v>3</v>
      </c>
      <c r="H79" s="16">
        <v>1</v>
      </c>
      <c r="I79" s="24">
        <f t="shared" si="13"/>
        <v>30000</v>
      </c>
      <c r="J79" s="133">
        <f t="shared" si="14"/>
        <v>555.55555555555554</v>
      </c>
    </row>
    <row r="80" spans="1:10" x14ac:dyDescent="0.3">
      <c r="A80" s="3"/>
      <c r="B80" s="3" t="s">
        <v>101</v>
      </c>
      <c r="C80" s="3" t="s">
        <v>102</v>
      </c>
      <c r="D80" s="3"/>
      <c r="E80" s="3">
        <v>1</v>
      </c>
      <c r="F80" s="111">
        <v>25000</v>
      </c>
      <c r="G80" s="3">
        <v>3</v>
      </c>
      <c r="H80" s="16">
        <v>1</v>
      </c>
      <c r="I80" s="24">
        <f t="shared" si="13"/>
        <v>75000</v>
      </c>
      <c r="J80" s="133">
        <f t="shared" si="14"/>
        <v>1388.8888888888889</v>
      </c>
    </row>
    <row r="81" spans="1:12" x14ac:dyDescent="0.3">
      <c r="A81" s="3"/>
      <c r="B81" s="3" t="s">
        <v>103</v>
      </c>
      <c r="C81" s="3" t="s">
        <v>104</v>
      </c>
      <c r="D81" s="3" t="s">
        <v>105</v>
      </c>
      <c r="E81" s="3">
        <v>1</v>
      </c>
      <c r="F81" s="111">
        <v>25000</v>
      </c>
      <c r="G81" s="3">
        <v>3</v>
      </c>
      <c r="H81" s="16">
        <v>1</v>
      </c>
      <c r="I81" s="24">
        <f t="shared" si="13"/>
        <v>75000</v>
      </c>
      <c r="J81" s="133">
        <f t="shared" si="14"/>
        <v>1388.8888888888889</v>
      </c>
    </row>
    <row r="82" spans="1:12" x14ac:dyDescent="0.3">
      <c r="A82" s="3"/>
      <c r="B82" s="3" t="s">
        <v>106</v>
      </c>
      <c r="C82" s="3" t="s">
        <v>107</v>
      </c>
      <c r="D82" s="3"/>
      <c r="E82" s="3">
        <v>40</v>
      </c>
      <c r="F82" s="111">
        <v>400</v>
      </c>
      <c r="G82" s="3">
        <v>3</v>
      </c>
      <c r="H82" s="16">
        <v>1</v>
      </c>
      <c r="I82" s="24">
        <f t="shared" si="13"/>
        <v>48000</v>
      </c>
      <c r="J82" s="133">
        <f t="shared" si="14"/>
        <v>888.88888888888891</v>
      </c>
    </row>
    <row r="83" spans="1:12" x14ac:dyDescent="0.3">
      <c r="A83" s="3"/>
      <c r="B83" s="3"/>
      <c r="C83" s="3"/>
      <c r="D83" s="82" t="s">
        <v>10</v>
      </c>
      <c r="E83" s="82"/>
      <c r="F83" s="122"/>
      <c r="G83" s="82"/>
      <c r="H83" s="123"/>
      <c r="I83" s="121">
        <f>SUM(I75:I82)</f>
        <v>1578000</v>
      </c>
      <c r="J83" s="121">
        <f t="shared" si="14"/>
        <v>29222.222222222223</v>
      </c>
    </row>
    <row r="84" spans="1:12" x14ac:dyDescent="0.3">
      <c r="A84" s="3"/>
      <c r="B84" s="3"/>
      <c r="C84" s="3"/>
      <c r="D84" s="3"/>
      <c r="E84" s="3"/>
      <c r="F84" s="3"/>
      <c r="G84" s="3"/>
      <c r="H84" s="16"/>
      <c r="I84" s="3"/>
      <c r="J84" s="3"/>
    </row>
    <row r="85" spans="1:12" x14ac:dyDescent="0.3">
      <c r="A85" s="3"/>
      <c r="B85" s="3"/>
      <c r="C85" s="3"/>
      <c r="D85" s="83" t="s">
        <v>19</v>
      </c>
      <c r="E85" s="83"/>
      <c r="F85" s="83"/>
      <c r="G85" s="83"/>
      <c r="H85" s="131"/>
      <c r="I85" s="132">
        <f>I72+I83</f>
        <v>2098000</v>
      </c>
      <c r="J85" s="132">
        <f>J72+J83</f>
        <v>38851.851851851854</v>
      </c>
      <c r="L85" s="134">
        <f>I85/40</f>
        <v>52450</v>
      </c>
    </row>
    <row r="87" spans="1:12" x14ac:dyDescent="0.3">
      <c r="A87" s="772" t="s">
        <v>256</v>
      </c>
      <c r="B87" s="773"/>
      <c r="C87" s="773"/>
      <c r="D87" s="773"/>
      <c r="E87" s="773"/>
      <c r="F87" s="773"/>
      <c r="G87" s="773"/>
      <c r="H87" s="773"/>
      <c r="I87" s="773"/>
      <c r="J87" s="773"/>
    </row>
    <row r="88" spans="1:12" x14ac:dyDescent="0.3">
      <c r="A88" s="26"/>
      <c r="B88" s="26"/>
      <c r="C88" s="26" t="s">
        <v>4</v>
      </c>
      <c r="D88" s="26" t="s">
        <v>79</v>
      </c>
      <c r="E88" s="26" t="s">
        <v>80</v>
      </c>
      <c r="F88" s="26" t="s">
        <v>50</v>
      </c>
      <c r="G88" s="26" t="s">
        <v>57</v>
      </c>
      <c r="H88" s="27" t="s">
        <v>53</v>
      </c>
      <c r="I88" s="28" t="s">
        <v>65</v>
      </c>
      <c r="J88" s="28" t="s">
        <v>81</v>
      </c>
    </row>
    <row r="89" spans="1:12" x14ac:dyDescent="0.3">
      <c r="A89" s="774"/>
      <c r="B89" s="775"/>
      <c r="C89" s="775"/>
      <c r="D89" s="776"/>
      <c r="E89" s="107"/>
      <c r="F89" s="107"/>
      <c r="G89" s="107"/>
      <c r="H89" s="108"/>
      <c r="I89" s="107"/>
      <c r="J89" s="107"/>
    </row>
    <row r="90" spans="1:12" x14ac:dyDescent="0.3">
      <c r="A90" s="3">
        <v>1</v>
      </c>
      <c r="B90" s="3" t="s">
        <v>108</v>
      </c>
      <c r="C90" s="3"/>
      <c r="D90" s="3"/>
      <c r="E90" s="3"/>
      <c r="F90" s="3"/>
      <c r="G90" s="3"/>
      <c r="H90" s="16"/>
      <c r="I90" s="3"/>
      <c r="J90" s="3"/>
    </row>
    <row r="91" spans="1:12" x14ac:dyDescent="0.3">
      <c r="A91" s="3"/>
      <c r="B91" s="3" t="s">
        <v>84</v>
      </c>
      <c r="C91" s="3"/>
      <c r="D91" s="3" t="s">
        <v>85</v>
      </c>
      <c r="E91" s="3">
        <v>1</v>
      </c>
      <c r="F91" s="111">
        <v>15000</v>
      </c>
      <c r="G91" s="3">
        <v>1</v>
      </c>
      <c r="H91" s="16">
        <v>1</v>
      </c>
      <c r="I91" s="24">
        <f>E91*F91*G91*H91</f>
        <v>15000</v>
      </c>
      <c r="J91" s="112">
        <f>I91/54</f>
        <v>277.77777777777777</v>
      </c>
    </row>
    <row r="92" spans="1:12" x14ac:dyDescent="0.3">
      <c r="A92" s="3"/>
      <c r="B92" s="3" t="s">
        <v>86</v>
      </c>
      <c r="C92" s="3" t="s">
        <v>87</v>
      </c>
      <c r="D92" s="3"/>
      <c r="E92" s="3"/>
      <c r="F92" s="111"/>
      <c r="G92" s="3"/>
      <c r="H92" s="16"/>
      <c r="I92" s="3"/>
      <c r="J92" s="112">
        <f t="shared" ref="J92:J95" si="15">I92/54</f>
        <v>0</v>
      </c>
    </row>
    <row r="93" spans="1:12" x14ac:dyDescent="0.3">
      <c r="A93" s="3"/>
      <c r="B93" s="3"/>
      <c r="C93" s="3" t="s">
        <v>88</v>
      </c>
      <c r="D93" s="3"/>
      <c r="E93" s="79">
        <v>1</v>
      </c>
      <c r="F93" s="111">
        <v>20000</v>
      </c>
      <c r="G93" s="3">
        <v>0</v>
      </c>
      <c r="H93" s="16">
        <v>1</v>
      </c>
      <c r="I93" s="24">
        <f>E93*F93*G93*H93</f>
        <v>0</v>
      </c>
      <c r="J93" s="112">
        <f t="shared" si="15"/>
        <v>0</v>
      </c>
    </row>
    <row r="94" spans="1:12" x14ac:dyDescent="0.3">
      <c r="A94" s="3"/>
      <c r="B94" s="3"/>
      <c r="C94" s="3" t="s">
        <v>89</v>
      </c>
      <c r="D94" s="3"/>
      <c r="E94" s="79">
        <v>1</v>
      </c>
      <c r="F94" s="111">
        <v>2500</v>
      </c>
      <c r="G94" s="3">
        <v>1</v>
      </c>
      <c r="H94" s="16">
        <v>1</v>
      </c>
      <c r="I94" s="24">
        <f>E94*F94*G94*H94</f>
        <v>2500</v>
      </c>
      <c r="J94" s="112">
        <f t="shared" si="15"/>
        <v>46.296296296296298</v>
      </c>
    </row>
    <row r="95" spans="1:12" x14ac:dyDescent="0.3">
      <c r="A95" s="3"/>
      <c r="B95" s="3"/>
      <c r="C95" s="3" t="s">
        <v>90</v>
      </c>
      <c r="D95" s="3"/>
      <c r="E95" s="79">
        <v>1</v>
      </c>
      <c r="F95" s="111">
        <v>10000</v>
      </c>
      <c r="G95" s="3">
        <v>0</v>
      </c>
      <c r="H95" s="16">
        <v>1</v>
      </c>
      <c r="I95" s="24">
        <f>E95*F95*G95*H95</f>
        <v>0</v>
      </c>
      <c r="J95" s="112">
        <f t="shared" si="15"/>
        <v>0</v>
      </c>
    </row>
    <row r="96" spans="1:12" x14ac:dyDescent="0.3">
      <c r="A96" s="3"/>
      <c r="B96" s="3"/>
      <c r="C96" s="3"/>
      <c r="D96" s="82" t="s">
        <v>10</v>
      </c>
      <c r="E96" s="82"/>
      <c r="F96" s="122"/>
      <c r="G96" s="82"/>
      <c r="H96" s="123"/>
      <c r="I96" s="121">
        <f>SUM(I91:I95)</f>
        <v>17500</v>
      </c>
      <c r="J96" s="121">
        <f>SUM(J91:J95)</f>
        <v>324.07407407407408</v>
      </c>
    </row>
    <row r="97" spans="1:12" x14ac:dyDescent="0.3">
      <c r="A97" s="96"/>
      <c r="B97" s="96"/>
      <c r="C97" s="96"/>
      <c r="D97" s="96"/>
      <c r="E97" s="96"/>
      <c r="F97" s="124"/>
      <c r="G97" s="96"/>
      <c r="H97" s="125"/>
      <c r="I97" s="126"/>
      <c r="J97" s="96"/>
    </row>
    <row r="98" spans="1:12" x14ac:dyDescent="0.3">
      <c r="A98" s="769" t="s">
        <v>257</v>
      </c>
      <c r="B98" s="770"/>
      <c r="C98" s="770"/>
      <c r="D98" s="771"/>
      <c r="E98" s="127"/>
      <c r="F98" s="128"/>
      <c r="G98" s="127"/>
      <c r="H98" s="129"/>
      <c r="I98" s="127"/>
      <c r="J98" s="127"/>
    </row>
    <row r="99" spans="1:12" x14ac:dyDescent="0.3">
      <c r="A99" s="3"/>
      <c r="B99" s="3" t="s">
        <v>92</v>
      </c>
      <c r="C99" s="3" t="s">
        <v>93</v>
      </c>
      <c r="D99" s="3"/>
      <c r="E99" s="3">
        <v>15</v>
      </c>
      <c r="F99" s="111">
        <v>750</v>
      </c>
      <c r="G99" s="3">
        <v>1</v>
      </c>
      <c r="H99" s="16">
        <v>1</v>
      </c>
      <c r="I99" s="24">
        <f t="shared" ref="I99:I106" si="16">E99*F99*G99*H99</f>
        <v>11250</v>
      </c>
      <c r="J99" s="133">
        <f>I99/54</f>
        <v>208.33333333333334</v>
      </c>
    </row>
    <row r="100" spans="1:12" x14ac:dyDescent="0.3">
      <c r="A100" s="3"/>
      <c r="B100" s="3" t="s">
        <v>86</v>
      </c>
      <c r="C100" s="3" t="s">
        <v>94</v>
      </c>
      <c r="D100" s="3" t="s">
        <v>110</v>
      </c>
      <c r="E100" s="3">
        <v>10</v>
      </c>
      <c r="F100" s="111">
        <v>1500</v>
      </c>
      <c r="G100" s="3">
        <v>1</v>
      </c>
      <c r="H100" s="16">
        <v>1</v>
      </c>
      <c r="I100" s="24">
        <f t="shared" si="16"/>
        <v>15000</v>
      </c>
      <c r="J100" s="133">
        <f t="shared" ref="J100:J107" si="17">I100/54</f>
        <v>277.77777777777777</v>
      </c>
    </row>
    <row r="101" spans="1:12" x14ac:dyDescent="0.3">
      <c r="A101" s="3"/>
      <c r="B101" s="3" t="s">
        <v>95</v>
      </c>
      <c r="C101" s="3" t="s">
        <v>96</v>
      </c>
      <c r="D101" s="3" t="s">
        <v>110</v>
      </c>
      <c r="E101" s="3">
        <v>10</v>
      </c>
      <c r="F101" s="111">
        <v>4000</v>
      </c>
      <c r="G101" s="3">
        <v>1</v>
      </c>
      <c r="H101" s="16">
        <v>1</v>
      </c>
      <c r="I101" s="24">
        <f t="shared" si="16"/>
        <v>40000</v>
      </c>
      <c r="J101" s="133">
        <f t="shared" si="17"/>
        <v>740.74074074074076</v>
      </c>
    </row>
    <row r="102" spans="1:12" x14ac:dyDescent="0.3">
      <c r="A102" s="3"/>
      <c r="B102" s="3" t="s">
        <v>97</v>
      </c>
      <c r="C102" s="3" t="s">
        <v>171</v>
      </c>
      <c r="D102" s="3" t="s">
        <v>110</v>
      </c>
      <c r="E102" s="3">
        <v>15</v>
      </c>
      <c r="F102" s="111">
        <v>1000</v>
      </c>
      <c r="G102" s="3">
        <v>1</v>
      </c>
      <c r="H102" s="16">
        <v>1</v>
      </c>
      <c r="I102" s="24">
        <f t="shared" si="16"/>
        <v>15000</v>
      </c>
      <c r="J102" s="133">
        <f t="shared" si="17"/>
        <v>277.77777777777777</v>
      </c>
    </row>
    <row r="103" spans="1:12" x14ac:dyDescent="0.3">
      <c r="A103" s="3"/>
      <c r="B103" s="3" t="s">
        <v>99</v>
      </c>
      <c r="C103" s="3" t="s">
        <v>100</v>
      </c>
      <c r="D103" s="3" t="s">
        <v>112</v>
      </c>
      <c r="E103" s="3">
        <v>1</v>
      </c>
      <c r="F103" s="111">
        <v>45000</v>
      </c>
      <c r="G103" s="3">
        <v>0</v>
      </c>
      <c r="H103" s="16">
        <v>1</v>
      </c>
      <c r="I103" s="24">
        <f t="shared" si="16"/>
        <v>0</v>
      </c>
      <c r="J103" s="133">
        <f t="shared" si="17"/>
        <v>0</v>
      </c>
    </row>
    <row r="104" spans="1:12" x14ac:dyDescent="0.3">
      <c r="A104" s="3"/>
      <c r="B104" s="3" t="s">
        <v>101</v>
      </c>
      <c r="C104" s="3" t="s">
        <v>102</v>
      </c>
      <c r="D104" s="3"/>
      <c r="E104" s="3">
        <v>1</v>
      </c>
      <c r="F104" s="111">
        <v>10000</v>
      </c>
      <c r="G104" s="3">
        <v>1</v>
      </c>
      <c r="H104" s="16">
        <v>1</v>
      </c>
      <c r="I104" s="24">
        <f t="shared" si="16"/>
        <v>10000</v>
      </c>
      <c r="J104" s="133">
        <f t="shared" si="17"/>
        <v>185.18518518518519</v>
      </c>
    </row>
    <row r="105" spans="1:12" x14ac:dyDescent="0.3">
      <c r="A105" s="3"/>
      <c r="B105" s="3" t="s">
        <v>103</v>
      </c>
      <c r="C105" s="3" t="s">
        <v>104</v>
      </c>
      <c r="D105" s="3" t="s">
        <v>105</v>
      </c>
      <c r="E105" s="3">
        <v>1</v>
      </c>
      <c r="F105" s="111">
        <v>5000</v>
      </c>
      <c r="G105" s="3">
        <v>1</v>
      </c>
      <c r="H105" s="16">
        <v>1</v>
      </c>
      <c r="I105" s="24">
        <f t="shared" si="16"/>
        <v>5000</v>
      </c>
      <c r="J105" s="133">
        <f t="shared" si="17"/>
        <v>92.592592592592595</v>
      </c>
    </row>
    <row r="106" spans="1:12" x14ac:dyDescent="0.3">
      <c r="A106" s="3"/>
      <c r="B106" s="3" t="s">
        <v>106</v>
      </c>
      <c r="C106" s="3" t="s">
        <v>107</v>
      </c>
      <c r="D106" s="3"/>
      <c r="E106" s="3">
        <v>10</v>
      </c>
      <c r="F106" s="111">
        <v>400</v>
      </c>
      <c r="G106" s="3">
        <v>1</v>
      </c>
      <c r="H106" s="16">
        <v>1</v>
      </c>
      <c r="I106" s="24">
        <f t="shared" si="16"/>
        <v>4000</v>
      </c>
      <c r="J106" s="133">
        <f t="shared" si="17"/>
        <v>74.074074074074076</v>
      </c>
    </row>
    <row r="107" spans="1:12" x14ac:dyDescent="0.3">
      <c r="A107" s="3"/>
      <c r="B107" s="3"/>
      <c r="C107" s="3"/>
      <c r="D107" s="82" t="s">
        <v>10</v>
      </c>
      <c r="E107" s="82"/>
      <c r="F107" s="122"/>
      <c r="G107" s="82"/>
      <c r="H107" s="123"/>
      <c r="I107" s="121">
        <f>SUM(I99:I106)</f>
        <v>100250</v>
      </c>
      <c r="J107" s="121">
        <f t="shared" si="17"/>
        <v>1856.4814814814815</v>
      </c>
      <c r="L107" s="134">
        <f>I107/40</f>
        <v>2506.25</v>
      </c>
    </row>
    <row r="109" spans="1:12" x14ac:dyDescent="0.3">
      <c r="A109" s="26"/>
      <c r="B109" s="26"/>
      <c r="C109" s="26" t="s">
        <v>4</v>
      </c>
      <c r="D109" s="26" t="s">
        <v>79</v>
      </c>
      <c r="E109" s="26" t="s">
        <v>80</v>
      </c>
      <c r="F109" s="26" t="s">
        <v>50</v>
      </c>
      <c r="G109" s="26" t="s">
        <v>57</v>
      </c>
      <c r="H109" s="27" t="s">
        <v>53</v>
      </c>
      <c r="I109" s="28" t="s">
        <v>65</v>
      </c>
      <c r="J109" s="28" t="s">
        <v>81</v>
      </c>
    </row>
    <row r="110" spans="1:12" x14ac:dyDescent="0.3">
      <c r="A110" s="3"/>
      <c r="B110" s="3" t="s">
        <v>92</v>
      </c>
      <c r="C110" s="3" t="s">
        <v>258</v>
      </c>
      <c r="D110" s="3" t="s">
        <v>259</v>
      </c>
      <c r="E110" s="3">
        <v>5</v>
      </c>
      <c r="F110" s="111">
        <v>4000</v>
      </c>
      <c r="G110" s="3">
        <v>2</v>
      </c>
      <c r="H110" s="16">
        <v>1</v>
      </c>
      <c r="I110" s="24">
        <f t="shared" ref="I110:I112" si="18">E110*F110*G110*H110</f>
        <v>40000</v>
      </c>
      <c r="J110" s="133">
        <f t="shared" ref="J110:J113" si="19">I110/54</f>
        <v>740.74074074074076</v>
      </c>
    </row>
    <row r="111" spans="1:12" x14ac:dyDescent="0.3">
      <c r="A111" s="3"/>
      <c r="B111" s="3" t="s">
        <v>86</v>
      </c>
      <c r="C111" s="3" t="s">
        <v>205</v>
      </c>
      <c r="D111" s="3" t="s">
        <v>110</v>
      </c>
      <c r="E111" s="3">
        <v>10</v>
      </c>
      <c r="F111" s="111">
        <v>4000</v>
      </c>
      <c r="G111" s="3">
        <v>2</v>
      </c>
      <c r="H111" s="16">
        <v>1</v>
      </c>
      <c r="I111" s="24">
        <f t="shared" si="18"/>
        <v>80000</v>
      </c>
      <c r="J111" s="133">
        <f t="shared" si="19"/>
        <v>1481.4814814814815</v>
      </c>
    </row>
    <row r="112" spans="1:12" x14ac:dyDescent="0.3">
      <c r="A112" s="3"/>
      <c r="B112" s="3" t="s">
        <v>95</v>
      </c>
      <c r="C112" s="159" t="s">
        <v>260</v>
      </c>
      <c r="D112" s="3"/>
      <c r="E112" s="3">
        <v>1</v>
      </c>
      <c r="F112" s="111">
        <v>5000</v>
      </c>
      <c r="G112" s="3">
        <v>1</v>
      </c>
      <c r="H112" s="16">
        <v>1</v>
      </c>
      <c r="I112" s="24">
        <f t="shared" si="18"/>
        <v>5000</v>
      </c>
      <c r="J112" s="133">
        <f t="shared" si="19"/>
        <v>92.592592592592595</v>
      </c>
    </row>
    <row r="113" spans="1:10" x14ac:dyDescent="0.3">
      <c r="A113" s="3"/>
      <c r="B113" s="3"/>
      <c r="C113" s="3"/>
      <c r="D113" s="82" t="s">
        <v>10</v>
      </c>
      <c r="E113" s="82"/>
      <c r="F113" s="122"/>
      <c r="G113" s="82"/>
      <c r="H113" s="123"/>
      <c r="I113" s="121">
        <f>SUM(I110:I112)</f>
        <v>125000</v>
      </c>
      <c r="J113" s="121">
        <f t="shared" si="19"/>
        <v>2314.8148148148148</v>
      </c>
    </row>
    <row r="115" spans="1:10" x14ac:dyDescent="0.3">
      <c r="A115" s="3"/>
      <c r="B115" s="3"/>
      <c r="C115" s="3"/>
      <c r="D115" s="83" t="s">
        <v>19</v>
      </c>
      <c r="E115" s="83"/>
      <c r="F115" s="83"/>
      <c r="G115" s="83"/>
      <c r="H115" s="131"/>
      <c r="I115" s="132">
        <f>SUM(I113+I107+I96)</f>
        <v>242750</v>
      </c>
      <c r="J115" s="132">
        <f>J96+J107</f>
        <v>2180.5555555555557</v>
      </c>
    </row>
  </sheetData>
  <mergeCells count="16">
    <mergeCell ref="B6:J6"/>
    <mergeCell ref="L7:O7"/>
    <mergeCell ref="L18:O18"/>
    <mergeCell ref="B19:J19"/>
    <mergeCell ref="B32:J32"/>
    <mergeCell ref="L32:O32"/>
    <mergeCell ref="A74:D74"/>
    <mergeCell ref="A87:J87"/>
    <mergeCell ref="A89:D89"/>
    <mergeCell ref="A98:D98"/>
    <mergeCell ref="B36:J36"/>
    <mergeCell ref="A38:J38"/>
    <mergeCell ref="A40:D40"/>
    <mergeCell ref="A49:D49"/>
    <mergeCell ref="A63:J63"/>
    <mergeCell ref="A65:D6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75"/>
  <sheetViews>
    <sheetView topLeftCell="B1" zoomScale="60" zoomScaleNormal="60" workbookViewId="0">
      <selection activeCell="N42" sqref="N42"/>
    </sheetView>
  </sheetViews>
  <sheetFormatPr defaultColWidth="10.109375" defaultRowHeight="14.4" x14ac:dyDescent="0.3"/>
  <cols>
    <col min="1" max="1" width="3.109375" style="1" customWidth="1"/>
    <col min="2" max="2" width="6.109375" style="1" customWidth="1"/>
    <col min="3" max="3" width="69.88671875" style="1" customWidth="1"/>
    <col min="4" max="4" width="21.88671875" style="1" bestFit="1" customWidth="1"/>
    <col min="5" max="5" width="17.6640625" style="1" bestFit="1" customWidth="1"/>
    <col min="6" max="6" width="27" style="1" bestFit="1" customWidth="1"/>
    <col min="7" max="7" width="19" style="1" bestFit="1" customWidth="1"/>
    <col min="8" max="8" width="8.44140625" style="1" customWidth="1"/>
    <col min="9" max="9" width="16.33203125" style="1" customWidth="1"/>
    <col min="10" max="10" width="12.33203125" style="1" bestFit="1" customWidth="1"/>
    <col min="11" max="11" width="3" style="1" customWidth="1"/>
    <col min="12" max="12" width="12.33203125" style="1" bestFit="1" customWidth="1"/>
    <col min="13" max="13" width="14" style="1" bestFit="1" customWidth="1"/>
    <col min="14" max="14" width="14.44140625" style="1" bestFit="1" customWidth="1"/>
    <col min="15" max="15" width="13" style="1" bestFit="1" customWidth="1"/>
    <col min="16" max="18" width="17.33203125" style="1" bestFit="1" customWidth="1"/>
    <col min="19" max="19" width="18.44140625" style="1" bestFit="1" customWidth="1"/>
    <col min="20" max="16384" width="10.109375" style="1"/>
  </cols>
  <sheetData>
    <row r="2" spans="2:19" ht="28.8" x14ac:dyDescent="0.3">
      <c r="B2" s="190">
        <v>3.2</v>
      </c>
      <c r="C2" s="65" t="s">
        <v>561</v>
      </c>
      <c r="D2" s="62" t="s">
        <v>26</v>
      </c>
      <c r="E2" s="62" t="s">
        <v>27</v>
      </c>
      <c r="F2" s="62" t="s">
        <v>28</v>
      </c>
      <c r="G2" s="62" t="s">
        <v>9</v>
      </c>
    </row>
    <row r="3" spans="2:19" x14ac:dyDescent="0.3">
      <c r="B3" s="51"/>
      <c r="C3" s="66"/>
      <c r="D3" s="67">
        <f>P27</f>
        <v>3262629.6296296297</v>
      </c>
      <c r="E3" s="67">
        <f t="shared" ref="E3:F3" si="0">Q27</f>
        <v>3571333.333333333</v>
      </c>
      <c r="F3" s="67">
        <f t="shared" si="0"/>
        <v>3517222.2222222225</v>
      </c>
      <c r="G3" s="67">
        <f>D3+E3+F3</f>
        <v>10351185.185185185</v>
      </c>
    </row>
    <row r="4" spans="2:19" x14ac:dyDescent="0.3">
      <c r="B4" s="51"/>
      <c r="C4" s="68" t="s">
        <v>10</v>
      </c>
      <c r="D4" s="69">
        <f>D3</f>
        <v>3262629.6296296297</v>
      </c>
      <c r="E4" s="69">
        <f t="shared" ref="E4:G4" si="1">E3</f>
        <v>3571333.333333333</v>
      </c>
      <c r="F4" s="69">
        <f t="shared" si="1"/>
        <v>3517222.2222222225</v>
      </c>
      <c r="G4" s="69">
        <f t="shared" si="1"/>
        <v>10351185.185185185</v>
      </c>
    </row>
    <row r="5" spans="2:19" x14ac:dyDescent="0.3">
      <c r="B5" s="70"/>
      <c r="C5" s="71"/>
      <c r="D5" s="72"/>
      <c r="E5" s="72"/>
      <c r="F5" s="72"/>
      <c r="G5" s="72"/>
    </row>
    <row r="6" spans="2:19" ht="20.100000000000001" customHeight="1" x14ac:dyDescent="0.3">
      <c r="B6" s="794" t="s">
        <v>34</v>
      </c>
      <c r="C6" s="794"/>
      <c r="D6" s="794"/>
      <c r="E6" s="794"/>
      <c r="F6" s="794"/>
      <c r="G6" s="794"/>
      <c r="H6" s="794"/>
      <c r="I6" s="794"/>
      <c r="J6" s="794"/>
      <c r="K6" s="3"/>
      <c r="L6" s="3"/>
      <c r="M6" s="3"/>
      <c r="N6" s="3"/>
      <c r="O6" s="3"/>
      <c r="P6" s="82"/>
      <c r="Q6" s="82"/>
      <c r="R6" s="82"/>
      <c r="S6" s="83"/>
    </row>
    <row r="7" spans="2:19" ht="20.100000000000001" customHeight="1" x14ac:dyDescent="0.3">
      <c r="B7" s="51"/>
      <c r="C7" s="73"/>
      <c r="D7" s="74"/>
      <c r="E7" s="74"/>
      <c r="F7" s="74"/>
      <c r="G7" s="74"/>
      <c r="H7" s="3"/>
      <c r="I7" s="3"/>
      <c r="J7" s="3"/>
      <c r="K7" s="3"/>
      <c r="L7" s="782" t="s">
        <v>26</v>
      </c>
      <c r="M7" s="782"/>
      <c r="N7" s="782"/>
      <c r="O7" s="782"/>
      <c r="P7" s="75" t="s">
        <v>26</v>
      </c>
      <c r="Q7" s="76" t="s">
        <v>27</v>
      </c>
      <c r="R7" s="76" t="s">
        <v>28</v>
      </c>
      <c r="S7" s="77" t="s">
        <v>19</v>
      </c>
    </row>
    <row r="8" spans="2:19" ht="20.100000000000001" customHeight="1" x14ac:dyDescent="0.3">
      <c r="B8" s="78"/>
      <c r="C8" s="795" t="str">
        <f>B18</f>
        <v>Enhance Infrastructure and HR Capacity to develop and implement BCC strategies</v>
      </c>
      <c r="D8" s="796"/>
      <c r="E8" s="796"/>
      <c r="F8" s="796"/>
      <c r="G8" s="796"/>
      <c r="H8" s="796"/>
      <c r="I8" s="796"/>
      <c r="J8" s="797"/>
      <c r="K8" s="3"/>
      <c r="L8" s="80" t="s">
        <v>36</v>
      </c>
      <c r="M8" s="80" t="s">
        <v>37</v>
      </c>
      <c r="N8" s="80" t="s">
        <v>38</v>
      </c>
      <c r="O8" s="80" t="s">
        <v>39</v>
      </c>
      <c r="P8" s="75" t="s">
        <v>9</v>
      </c>
      <c r="Q8" s="81" t="s">
        <v>9</v>
      </c>
      <c r="R8" s="81" t="s">
        <v>9</v>
      </c>
      <c r="S8" s="77"/>
    </row>
    <row r="9" spans="2:19" ht="20.100000000000001" customHeight="1" x14ac:dyDescent="0.3">
      <c r="B9" s="78">
        <v>1</v>
      </c>
      <c r="C9" s="787" t="str">
        <f t="shared" ref="C9:C15" si="2">C20</f>
        <v>Support strengthening of state BCC units/set-ups</v>
      </c>
      <c r="D9" s="788"/>
      <c r="E9" s="788"/>
      <c r="F9" s="788"/>
      <c r="G9" s="788"/>
      <c r="H9" s="788"/>
      <c r="I9" s="788"/>
      <c r="J9" s="789"/>
      <c r="K9" s="3"/>
      <c r="L9" s="3"/>
      <c r="M9" s="3"/>
      <c r="N9" s="3"/>
      <c r="O9" s="3"/>
      <c r="P9" s="82"/>
      <c r="Q9" s="82"/>
      <c r="R9" s="82"/>
      <c r="S9" s="83"/>
    </row>
    <row r="10" spans="2:19" ht="20.100000000000001" customHeight="1" x14ac:dyDescent="0.3">
      <c r="B10" s="78"/>
      <c r="C10" s="787" t="str">
        <f t="shared" si="2"/>
        <v>Support specialized HR for BCC capacity development and implementation in 9 states</v>
      </c>
      <c r="D10" s="788"/>
      <c r="E10" s="788"/>
      <c r="F10" s="788"/>
      <c r="G10" s="788"/>
      <c r="H10" s="788"/>
      <c r="I10" s="788"/>
      <c r="J10" s="789"/>
      <c r="K10" s="3"/>
      <c r="L10" s="3">
        <v>9</v>
      </c>
      <c r="M10" s="3">
        <v>9</v>
      </c>
      <c r="N10" s="3">
        <v>9</v>
      </c>
      <c r="O10" s="3">
        <v>9</v>
      </c>
      <c r="P10" s="82">
        <v>9</v>
      </c>
      <c r="Q10" s="82">
        <v>9</v>
      </c>
      <c r="R10" s="82">
        <v>9</v>
      </c>
      <c r="S10" s="83">
        <v>9</v>
      </c>
    </row>
    <row r="11" spans="2:19" ht="20.100000000000001" customHeight="1" x14ac:dyDescent="0.3">
      <c r="B11" s="78">
        <v>2</v>
      </c>
      <c r="C11" s="787" t="str">
        <f t="shared" si="2"/>
        <v>Development of BCC tools and dissemination in 9 states (@120000)</v>
      </c>
      <c r="D11" s="788"/>
      <c r="E11" s="788"/>
      <c r="F11" s="788"/>
      <c r="G11" s="788"/>
      <c r="H11" s="788"/>
      <c r="I11" s="788"/>
      <c r="J11" s="789"/>
      <c r="K11" s="3"/>
      <c r="L11" s="3"/>
      <c r="M11" s="3"/>
      <c r="N11" s="3"/>
      <c r="O11" s="3">
        <v>9</v>
      </c>
      <c r="P11" s="82">
        <v>9</v>
      </c>
      <c r="Q11" s="82">
        <v>9</v>
      </c>
      <c r="R11" s="82">
        <v>9</v>
      </c>
      <c r="S11" s="83">
        <v>9</v>
      </c>
    </row>
    <row r="12" spans="2:19" ht="20.100000000000001" customHeight="1" x14ac:dyDescent="0.3">
      <c r="B12" s="78">
        <v>3</v>
      </c>
      <c r="C12" s="787" t="str">
        <f t="shared" si="2"/>
        <v>Facilitate inter-state exposure visits for learning and experience sharing of BCC personnel from 11 states in two batches</v>
      </c>
      <c r="D12" s="788"/>
      <c r="E12" s="788"/>
      <c r="F12" s="788"/>
      <c r="G12" s="788"/>
      <c r="H12" s="788"/>
      <c r="I12" s="788"/>
      <c r="J12" s="789"/>
      <c r="K12" s="3"/>
      <c r="L12" s="3"/>
      <c r="M12" s="3">
        <v>1</v>
      </c>
      <c r="N12" s="3">
        <v>1</v>
      </c>
      <c r="O12" s="3"/>
      <c r="P12" s="82">
        <v>2</v>
      </c>
      <c r="Q12" s="82"/>
      <c r="R12" s="82"/>
      <c r="S12" s="83"/>
    </row>
    <row r="13" spans="2:19" ht="20.100000000000001" customHeight="1" x14ac:dyDescent="0.3">
      <c r="B13" s="78">
        <v>4</v>
      </c>
      <c r="C13" s="787" t="str">
        <f t="shared" si="2"/>
        <v>Strengthen systems for effective inter personal communication and social mobilization using Polio social mobilization network (7000 x 2500 per month x 3 years /50%)</v>
      </c>
      <c r="D13" s="788"/>
      <c r="E13" s="788"/>
      <c r="F13" s="788"/>
      <c r="G13" s="788"/>
      <c r="H13" s="788"/>
      <c r="I13" s="788"/>
      <c r="J13" s="789"/>
      <c r="K13" s="3"/>
      <c r="L13" s="3" t="s">
        <v>143</v>
      </c>
      <c r="M13" s="3" t="s">
        <v>143</v>
      </c>
      <c r="N13" s="3" t="s">
        <v>143</v>
      </c>
      <c r="O13" s="3" t="s">
        <v>143</v>
      </c>
      <c r="P13" s="82"/>
      <c r="Q13" s="82" t="s">
        <v>143</v>
      </c>
      <c r="R13" s="82" t="s">
        <v>143</v>
      </c>
      <c r="S13" s="83"/>
    </row>
    <row r="14" spans="2:19" ht="20.100000000000001" customHeight="1" x14ac:dyDescent="0.3">
      <c r="B14" s="78"/>
      <c r="C14" s="787" t="str">
        <f t="shared" si="2"/>
        <v xml:space="preserve">Support the capacity strengthening of selected CBOs/SHGs/State training agencies for effective IPC and community mobilization especially from underserved areas in 9 states </v>
      </c>
      <c r="D14" s="788"/>
      <c r="E14" s="788"/>
      <c r="F14" s="788"/>
      <c r="G14" s="788"/>
      <c r="H14" s="788"/>
      <c r="I14" s="788"/>
      <c r="J14" s="789"/>
      <c r="K14" s="3"/>
      <c r="L14" s="3"/>
      <c r="M14" s="3"/>
      <c r="N14" s="3">
        <v>6</v>
      </c>
      <c r="O14" s="3"/>
      <c r="P14" s="82">
        <v>6</v>
      </c>
      <c r="Q14" s="82">
        <v>6</v>
      </c>
      <c r="R14" s="82">
        <v>6</v>
      </c>
      <c r="S14" s="83"/>
    </row>
    <row r="15" spans="2:19" ht="20.100000000000001" customHeight="1" x14ac:dyDescent="0.3">
      <c r="B15" s="78">
        <v>6</v>
      </c>
      <c r="C15" s="787" t="str">
        <f t="shared" si="2"/>
        <v>Increase IPC skills capacity of 80% of Trainers of Frontline Workers in 12 states (340 trainers @ 3 trainers per district)</v>
      </c>
      <c r="D15" s="788"/>
      <c r="E15" s="788"/>
      <c r="F15" s="788"/>
      <c r="G15" s="788"/>
      <c r="H15" s="788"/>
      <c r="I15" s="788"/>
      <c r="J15" s="789"/>
      <c r="K15" s="3"/>
      <c r="L15" s="3"/>
      <c r="M15" s="3"/>
      <c r="N15" s="3"/>
      <c r="O15" s="3"/>
      <c r="P15" s="82"/>
      <c r="Q15" s="82">
        <v>8</v>
      </c>
      <c r="R15" s="82">
        <v>4</v>
      </c>
      <c r="S15" s="83"/>
    </row>
    <row r="17" spans="1:19" s="2" customFormat="1" x14ac:dyDescent="0.3">
      <c r="L17" s="778" t="s">
        <v>26</v>
      </c>
      <c r="M17" s="778"/>
      <c r="N17" s="778"/>
      <c r="O17" s="778"/>
      <c r="P17" s="84" t="str">
        <f>P7</f>
        <v>Year 1</v>
      </c>
      <c r="Q17" s="85" t="s">
        <v>27</v>
      </c>
      <c r="R17" s="85" t="s">
        <v>28</v>
      </c>
      <c r="S17" s="86" t="str">
        <f>S7</f>
        <v>Grand Total</v>
      </c>
    </row>
    <row r="18" spans="1:19" x14ac:dyDescent="0.3">
      <c r="B18" s="790" t="str">
        <f>C2</f>
        <v>Enhance Infrastructure and HR Capacity to develop and implement BCC strategies</v>
      </c>
      <c r="C18" s="790"/>
      <c r="D18" s="790"/>
      <c r="E18" s="790"/>
      <c r="F18" s="790"/>
      <c r="G18" s="790"/>
      <c r="H18" s="790"/>
      <c r="I18" s="790"/>
      <c r="J18" s="790"/>
      <c r="K18" s="3"/>
      <c r="L18" s="80" t="s">
        <v>36</v>
      </c>
      <c r="M18" s="80" t="s">
        <v>37</v>
      </c>
      <c r="N18" s="80" t="s">
        <v>38</v>
      </c>
      <c r="O18" s="80" t="s">
        <v>39</v>
      </c>
      <c r="P18" s="75" t="s">
        <v>9</v>
      </c>
      <c r="Q18" s="81" t="s">
        <v>9</v>
      </c>
      <c r="R18" s="81" t="s">
        <v>9</v>
      </c>
      <c r="S18" s="77"/>
    </row>
    <row r="19" spans="1:19" ht="28.8" x14ac:dyDescent="0.3">
      <c r="B19" s="87"/>
      <c r="C19" s="87" t="s">
        <v>145</v>
      </c>
      <c r="D19" s="87" t="s">
        <v>79</v>
      </c>
      <c r="E19" s="87" t="s">
        <v>80</v>
      </c>
      <c r="F19" s="87" t="s">
        <v>146</v>
      </c>
      <c r="G19" s="87" t="s">
        <v>147</v>
      </c>
      <c r="H19" s="87" t="s">
        <v>148</v>
      </c>
      <c r="I19" s="88" t="s">
        <v>65</v>
      </c>
      <c r="J19" s="88" t="s">
        <v>81</v>
      </c>
      <c r="K19" s="3"/>
      <c r="L19" s="89"/>
      <c r="M19" s="89"/>
      <c r="N19" s="89"/>
      <c r="O19" s="89"/>
      <c r="P19" s="81"/>
      <c r="Q19" s="81"/>
      <c r="R19" s="81"/>
      <c r="S19" s="77"/>
    </row>
    <row r="20" spans="1:19" x14ac:dyDescent="0.3">
      <c r="B20" s="90">
        <v>1</v>
      </c>
      <c r="C20" s="188" t="s">
        <v>261</v>
      </c>
      <c r="D20" s="90"/>
      <c r="E20" s="91"/>
      <c r="F20" s="92"/>
      <c r="G20" s="90"/>
      <c r="H20" s="90"/>
      <c r="I20" s="93">
        <f t="shared" ref="I20:I25" si="3">E20*F20*G20*H20</f>
        <v>0</v>
      </c>
      <c r="J20" s="94">
        <f t="shared" ref="J20:J26" si="4">I20/54</f>
        <v>0</v>
      </c>
      <c r="K20" s="3"/>
      <c r="L20" s="89"/>
      <c r="M20" s="89"/>
      <c r="N20" s="89"/>
      <c r="O20" s="89"/>
      <c r="P20" s="81">
        <f>L20+M20+N20+O20</f>
        <v>0</v>
      </c>
      <c r="Q20" s="81">
        <f>J20</f>
        <v>0</v>
      </c>
      <c r="R20" s="81"/>
      <c r="S20" s="77">
        <f>P20+Q20+R20</f>
        <v>0</v>
      </c>
    </row>
    <row r="21" spans="1:19" ht="28.8" x14ac:dyDescent="0.3">
      <c r="B21" s="90"/>
      <c r="C21" s="188" t="s">
        <v>508</v>
      </c>
      <c r="D21" s="90"/>
      <c r="E21" s="91">
        <v>1</v>
      </c>
      <c r="F21" s="92">
        <v>1250000</v>
      </c>
      <c r="G21" s="90">
        <v>1</v>
      </c>
      <c r="H21" s="90">
        <v>1</v>
      </c>
      <c r="I21" s="93">
        <f t="shared" si="3"/>
        <v>1250000</v>
      </c>
      <c r="J21" s="94">
        <f t="shared" si="4"/>
        <v>23148.14814814815</v>
      </c>
      <c r="K21" s="3"/>
      <c r="L21" s="89">
        <f>J21*9</f>
        <v>208333.33333333334</v>
      </c>
      <c r="M21" s="89">
        <f>J21*9</f>
        <v>208333.33333333334</v>
      </c>
      <c r="N21" s="89">
        <f>J21*9</f>
        <v>208333.33333333334</v>
      </c>
      <c r="O21" s="89">
        <f>J21*9</f>
        <v>208333.33333333334</v>
      </c>
      <c r="P21" s="81">
        <f t="shared" ref="P21:P25" si="5">L21+M21+N21+O21</f>
        <v>833333.33333333337</v>
      </c>
      <c r="Q21" s="81">
        <f>P21*1.1</f>
        <v>916666.66666666674</v>
      </c>
      <c r="R21" s="81">
        <f>Q21*1.1</f>
        <v>1008333.3333333335</v>
      </c>
      <c r="S21" s="77">
        <f t="shared" ref="S21:S26" si="6">P21+Q21+R21</f>
        <v>2758333.3333333335</v>
      </c>
    </row>
    <row r="22" spans="1:19" x14ac:dyDescent="0.3">
      <c r="B22" s="90">
        <v>2</v>
      </c>
      <c r="C22" s="188" t="s">
        <v>262</v>
      </c>
      <c r="D22" s="90"/>
      <c r="E22" s="91">
        <v>1</v>
      </c>
      <c r="F22" s="92">
        <v>1200000</v>
      </c>
      <c r="G22" s="90">
        <v>1</v>
      </c>
      <c r="H22" s="90">
        <v>1</v>
      </c>
      <c r="I22" s="93">
        <f t="shared" si="3"/>
        <v>1200000</v>
      </c>
      <c r="J22" s="94">
        <f t="shared" si="4"/>
        <v>22222.222222222223</v>
      </c>
      <c r="K22" s="3"/>
      <c r="L22" s="89"/>
      <c r="M22" s="89"/>
      <c r="N22" s="89"/>
      <c r="O22" s="89">
        <f>J22*9</f>
        <v>200000</v>
      </c>
      <c r="P22" s="81">
        <f t="shared" si="5"/>
        <v>200000</v>
      </c>
      <c r="Q22" s="81">
        <f>J22*9</f>
        <v>200000</v>
      </c>
      <c r="R22" s="81">
        <f>J22*9</f>
        <v>200000</v>
      </c>
      <c r="S22" s="77">
        <f t="shared" si="6"/>
        <v>600000</v>
      </c>
    </row>
    <row r="23" spans="1:19" ht="28.8" x14ac:dyDescent="0.3">
      <c r="B23" s="90">
        <v>3</v>
      </c>
      <c r="C23" s="188" t="s">
        <v>562</v>
      </c>
      <c r="D23" s="90"/>
      <c r="E23" s="91">
        <v>1</v>
      </c>
      <c r="F23" s="92">
        <f>I75</f>
        <v>1787000</v>
      </c>
      <c r="G23" s="90">
        <v>1</v>
      </c>
      <c r="H23" s="90">
        <v>1</v>
      </c>
      <c r="I23" s="93">
        <f t="shared" si="3"/>
        <v>1787000</v>
      </c>
      <c r="J23" s="94">
        <f t="shared" si="4"/>
        <v>33092.592592592591</v>
      </c>
      <c r="K23" s="3"/>
      <c r="L23" s="89"/>
      <c r="M23" s="89">
        <f>J23*1</f>
        <v>33092.592592592591</v>
      </c>
      <c r="N23" s="89">
        <f>J23*1</f>
        <v>33092.592592592591</v>
      </c>
      <c r="O23" s="89"/>
      <c r="P23" s="81">
        <f t="shared" si="5"/>
        <v>66185.185185185182</v>
      </c>
      <c r="Q23" s="81"/>
      <c r="R23" s="81"/>
      <c r="S23" s="77">
        <f t="shared" si="6"/>
        <v>66185.185185185182</v>
      </c>
    </row>
    <row r="24" spans="1:19" ht="43.2" x14ac:dyDescent="0.3">
      <c r="B24" s="90">
        <v>4</v>
      </c>
      <c r="C24" s="191" t="s">
        <v>563</v>
      </c>
      <c r="D24" s="90"/>
      <c r="E24" s="90">
        <v>7000</v>
      </c>
      <c r="F24" s="92">
        <v>2500</v>
      </c>
      <c r="G24" s="90">
        <v>12</v>
      </c>
      <c r="H24" s="192">
        <v>0.5</v>
      </c>
      <c r="I24" s="93">
        <f t="shared" si="3"/>
        <v>105000000</v>
      </c>
      <c r="J24" s="93">
        <f t="shared" si="4"/>
        <v>1944444.4444444445</v>
      </c>
      <c r="K24" s="3"/>
      <c r="L24" s="89">
        <f>J24/4</f>
        <v>486111.11111111112</v>
      </c>
      <c r="M24" s="89">
        <f>L24</f>
        <v>486111.11111111112</v>
      </c>
      <c r="N24" s="89">
        <f t="shared" ref="N24:O24" si="7">M24</f>
        <v>486111.11111111112</v>
      </c>
      <c r="O24" s="89">
        <f t="shared" si="7"/>
        <v>486111.11111111112</v>
      </c>
      <c r="P24" s="81">
        <f t="shared" si="5"/>
        <v>1944444.4444444445</v>
      </c>
      <c r="Q24" s="193">
        <f>J24</f>
        <v>1944444.4444444445</v>
      </c>
      <c r="R24" s="81">
        <f>J24</f>
        <v>1944444.4444444445</v>
      </c>
      <c r="S24" s="77">
        <f t="shared" si="6"/>
        <v>5833333.333333334</v>
      </c>
    </row>
    <row r="25" spans="1:19" ht="43.2" x14ac:dyDescent="0.3">
      <c r="B25" s="90"/>
      <c r="C25" s="194" t="s">
        <v>564</v>
      </c>
      <c r="D25" s="90"/>
      <c r="E25" s="91">
        <v>1</v>
      </c>
      <c r="F25" s="92">
        <f>I53</f>
        <v>1968000</v>
      </c>
      <c r="G25" s="90">
        <v>1</v>
      </c>
      <c r="H25" s="90">
        <v>1</v>
      </c>
      <c r="I25" s="93">
        <f t="shared" si="3"/>
        <v>1968000</v>
      </c>
      <c r="J25" s="93">
        <f t="shared" si="4"/>
        <v>36444.444444444445</v>
      </c>
      <c r="K25" s="3"/>
      <c r="L25" s="89"/>
      <c r="M25" s="89"/>
      <c r="N25" s="89">
        <f>J25*6</f>
        <v>218666.66666666669</v>
      </c>
      <c r="O25" s="89"/>
      <c r="P25" s="81">
        <f t="shared" si="5"/>
        <v>218666.66666666669</v>
      </c>
      <c r="Q25" s="81">
        <f>J25*6</f>
        <v>218666.66666666669</v>
      </c>
      <c r="R25" s="81">
        <f>J25*6</f>
        <v>218666.66666666669</v>
      </c>
      <c r="S25" s="77">
        <f t="shared" si="6"/>
        <v>656000</v>
      </c>
    </row>
    <row r="26" spans="1:19" ht="28.8" x14ac:dyDescent="0.3">
      <c r="B26" s="90">
        <v>6</v>
      </c>
      <c r="C26" s="188" t="s">
        <v>263</v>
      </c>
      <c r="D26" s="90"/>
      <c r="E26" s="91">
        <v>1</v>
      </c>
      <c r="F26" s="92">
        <f>I53</f>
        <v>1968000</v>
      </c>
      <c r="G26" s="90">
        <v>1</v>
      </c>
      <c r="H26" s="90">
        <v>1</v>
      </c>
      <c r="I26" s="93">
        <f>F26*G26*H26</f>
        <v>1968000</v>
      </c>
      <c r="J26" s="93">
        <f t="shared" si="4"/>
        <v>36444.444444444445</v>
      </c>
      <c r="K26" s="3"/>
      <c r="L26" s="89"/>
      <c r="M26" s="89"/>
      <c r="N26" s="89"/>
      <c r="O26" s="89"/>
      <c r="P26" s="81"/>
      <c r="Q26" s="81">
        <f>J26*8</f>
        <v>291555.55555555556</v>
      </c>
      <c r="R26" s="81">
        <f>J26*4</f>
        <v>145777.77777777778</v>
      </c>
      <c r="S26" s="77">
        <f t="shared" si="6"/>
        <v>437333.33333333337</v>
      </c>
    </row>
    <row r="27" spans="1:19" s="97" customFormat="1" x14ac:dyDescent="0.3">
      <c r="B27" s="98"/>
      <c r="C27" s="98" t="s">
        <v>56</v>
      </c>
      <c r="D27" s="98"/>
      <c r="E27" s="98"/>
      <c r="F27" s="98"/>
      <c r="G27" s="98"/>
      <c r="H27" s="98"/>
      <c r="I27" s="99"/>
      <c r="J27" s="99"/>
      <c r="K27" s="98"/>
      <c r="L27" s="100">
        <f>L20+L21+L22+L23+L24+L25+L26</f>
        <v>694444.4444444445</v>
      </c>
      <c r="M27" s="100">
        <f t="shared" ref="M27:S27" si="8">M20+M21+M22+M23+M24+M25+M26</f>
        <v>727537.03703703708</v>
      </c>
      <c r="N27" s="100">
        <f t="shared" si="8"/>
        <v>946203.70370370382</v>
      </c>
      <c r="O27" s="100">
        <f t="shared" si="8"/>
        <v>894444.4444444445</v>
      </c>
      <c r="P27" s="100">
        <f t="shared" si="8"/>
        <v>3262629.6296296297</v>
      </c>
      <c r="Q27" s="100">
        <f t="shared" si="8"/>
        <v>3571333.333333333</v>
      </c>
      <c r="R27" s="100">
        <f t="shared" si="8"/>
        <v>3517222.2222222225</v>
      </c>
      <c r="S27" s="100">
        <f t="shared" si="8"/>
        <v>10351185.185185187</v>
      </c>
    </row>
    <row r="29" spans="1:19" x14ac:dyDescent="0.3">
      <c r="B29" s="783" t="s">
        <v>61</v>
      </c>
      <c r="C29" s="783"/>
      <c r="D29" s="783"/>
      <c r="E29" s="783"/>
      <c r="F29" s="783"/>
      <c r="G29" s="783"/>
      <c r="H29" s="783"/>
      <c r="I29" s="783"/>
      <c r="J29" s="783"/>
    </row>
    <row r="31" spans="1:19" x14ac:dyDescent="0.3">
      <c r="A31" s="772" t="s">
        <v>565</v>
      </c>
      <c r="B31" s="773"/>
      <c r="C31" s="773"/>
      <c r="D31" s="773"/>
      <c r="E31" s="773"/>
      <c r="F31" s="773"/>
      <c r="G31" s="773"/>
      <c r="H31" s="773"/>
      <c r="I31" s="773"/>
      <c r="J31" s="773"/>
    </row>
    <row r="32" spans="1:19" x14ac:dyDescent="0.3">
      <c r="A32" s="26"/>
      <c r="B32" s="26"/>
      <c r="C32" s="26" t="s">
        <v>4</v>
      </c>
      <c r="D32" s="26" t="s">
        <v>79</v>
      </c>
      <c r="E32" s="26" t="s">
        <v>80</v>
      </c>
      <c r="F32" s="26" t="s">
        <v>50</v>
      </c>
      <c r="G32" s="26" t="s">
        <v>57</v>
      </c>
      <c r="H32" s="27" t="s">
        <v>53</v>
      </c>
      <c r="I32" s="28" t="s">
        <v>65</v>
      </c>
      <c r="J32" s="28" t="s">
        <v>81</v>
      </c>
    </row>
    <row r="33" spans="1:10" x14ac:dyDescent="0.3">
      <c r="A33" s="774"/>
      <c r="B33" s="775"/>
      <c r="C33" s="775"/>
      <c r="D33" s="776"/>
      <c r="E33" s="107"/>
      <c r="F33" s="107"/>
      <c r="G33" s="107"/>
      <c r="H33" s="108"/>
      <c r="I33" s="107"/>
      <c r="J33" s="107"/>
    </row>
    <row r="34" spans="1:10" x14ac:dyDescent="0.3">
      <c r="A34" s="3">
        <v>1</v>
      </c>
      <c r="B34" s="3" t="s">
        <v>108</v>
      </c>
      <c r="C34" s="3"/>
      <c r="D34" s="3"/>
      <c r="E34" s="3"/>
      <c r="F34" s="3"/>
      <c r="G34" s="3"/>
      <c r="H34" s="16"/>
      <c r="I34" s="3"/>
      <c r="J34" s="3"/>
    </row>
    <row r="35" spans="1:10" x14ac:dyDescent="0.3">
      <c r="A35" s="3"/>
      <c r="B35" s="3" t="s">
        <v>84</v>
      </c>
      <c r="C35" s="3"/>
      <c r="D35" s="3" t="s">
        <v>85</v>
      </c>
      <c r="E35" s="3">
        <v>3</v>
      </c>
      <c r="F35" s="111">
        <v>15000</v>
      </c>
      <c r="G35" s="3">
        <v>4</v>
      </c>
      <c r="H35" s="16">
        <v>1</v>
      </c>
      <c r="I35" s="24">
        <f>E35*F35*G35*H35</f>
        <v>180000</v>
      </c>
      <c r="J35" s="112">
        <f>I35/54</f>
        <v>3333.3333333333335</v>
      </c>
    </row>
    <row r="36" spans="1:10" x14ac:dyDescent="0.3">
      <c r="A36" s="3"/>
      <c r="B36" s="3" t="s">
        <v>86</v>
      </c>
      <c r="C36" s="3" t="s">
        <v>87</v>
      </c>
      <c r="D36" s="3"/>
      <c r="E36" s="3"/>
      <c r="F36" s="111"/>
      <c r="G36" s="3"/>
      <c r="H36" s="16"/>
      <c r="I36" s="3"/>
      <c r="J36" s="112">
        <f t="shared" ref="J36:J39" si="9">I36/54</f>
        <v>0</v>
      </c>
    </row>
    <row r="37" spans="1:10" x14ac:dyDescent="0.3">
      <c r="A37" s="3"/>
      <c r="B37" s="3"/>
      <c r="C37" s="3" t="s">
        <v>88</v>
      </c>
      <c r="D37" s="3"/>
      <c r="E37" s="79">
        <v>3</v>
      </c>
      <c r="F37" s="111">
        <v>20000</v>
      </c>
      <c r="G37" s="3">
        <v>1</v>
      </c>
      <c r="H37" s="16">
        <v>1</v>
      </c>
      <c r="I37" s="24">
        <f>E37*F37*G37*H37</f>
        <v>60000</v>
      </c>
      <c r="J37" s="112">
        <f t="shared" si="9"/>
        <v>1111.1111111111111</v>
      </c>
    </row>
    <row r="38" spans="1:10" x14ac:dyDescent="0.3">
      <c r="A38" s="3"/>
      <c r="B38" s="3"/>
      <c r="C38" s="3" t="s">
        <v>89</v>
      </c>
      <c r="D38" s="3"/>
      <c r="E38" s="79">
        <v>3</v>
      </c>
      <c r="F38" s="111">
        <v>2500</v>
      </c>
      <c r="G38" s="3">
        <v>4</v>
      </c>
      <c r="H38" s="16">
        <v>1</v>
      </c>
      <c r="I38" s="24">
        <f>E38*F38*G38*H38</f>
        <v>30000</v>
      </c>
      <c r="J38" s="112">
        <f t="shared" si="9"/>
        <v>555.55555555555554</v>
      </c>
    </row>
    <row r="39" spans="1:10" x14ac:dyDescent="0.3">
      <c r="A39" s="3"/>
      <c r="B39" s="3"/>
      <c r="C39" s="3" t="s">
        <v>90</v>
      </c>
      <c r="D39" s="3"/>
      <c r="E39" s="79">
        <v>3</v>
      </c>
      <c r="F39" s="111">
        <v>10000</v>
      </c>
      <c r="G39" s="3">
        <v>4</v>
      </c>
      <c r="H39" s="16">
        <v>1</v>
      </c>
      <c r="I39" s="24">
        <f>E39*F39*G39*H39</f>
        <v>120000</v>
      </c>
      <c r="J39" s="112">
        <f t="shared" si="9"/>
        <v>2222.2222222222222</v>
      </c>
    </row>
    <row r="40" spans="1:10" x14ac:dyDescent="0.3">
      <c r="A40" s="3"/>
      <c r="B40" s="3"/>
      <c r="C40" s="3"/>
      <c r="D40" s="82" t="s">
        <v>10</v>
      </c>
      <c r="E40" s="82"/>
      <c r="F40" s="122"/>
      <c r="G40" s="82"/>
      <c r="H40" s="123"/>
      <c r="I40" s="121">
        <f>SUM(I35:I39)</f>
        <v>390000</v>
      </c>
      <c r="J40" s="121">
        <f>SUM(J35:J39)</f>
        <v>7222.2222222222226</v>
      </c>
    </row>
    <row r="41" spans="1:10" x14ac:dyDescent="0.3">
      <c r="A41" s="96"/>
      <c r="B41" s="96"/>
      <c r="C41" s="96"/>
      <c r="D41" s="96"/>
      <c r="E41" s="96"/>
      <c r="F41" s="124"/>
      <c r="G41" s="96"/>
      <c r="H41" s="125"/>
      <c r="I41" s="126"/>
      <c r="J41" s="96"/>
    </row>
    <row r="42" spans="1:10" x14ac:dyDescent="0.3">
      <c r="A42" s="769" t="s">
        <v>91</v>
      </c>
      <c r="B42" s="770"/>
      <c r="C42" s="770"/>
      <c r="D42" s="771"/>
      <c r="E42" s="127"/>
      <c r="F42" s="128"/>
      <c r="G42" s="127"/>
      <c r="H42" s="129"/>
      <c r="I42" s="127"/>
      <c r="J42" s="127"/>
    </row>
    <row r="43" spans="1:10" x14ac:dyDescent="0.3">
      <c r="A43" s="3"/>
      <c r="B43" s="3" t="s">
        <v>92</v>
      </c>
      <c r="C43" s="3" t="s">
        <v>93</v>
      </c>
      <c r="D43" s="3"/>
      <c r="E43" s="3">
        <v>40</v>
      </c>
      <c r="F43" s="111">
        <v>1000</v>
      </c>
      <c r="G43" s="3">
        <v>3</v>
      </c>
      <c r="H43" s="16">
        <v>1</v>
      </c>
      <c r="I43" s="24">
        <f t="shared" ref="I43:I50" si="10">E43*F43*G43*H43</f>
        <v>120000</v>
      </c>
      <c r="J43" s="133">
        <f>I43/54</f>
        <v>2222.2222222222222</v>
      </c>
    </row>
    <row r="44" spans="1:10" x14ac:dyDescent="0.3">
      <c r="A44" s="3"/>
      <c r="B44" s="3" t="s">
        <v>86</v>
      </c>
      <c r="C44" s="3" t="s">
        <v>94</v>
      </c>
      <c r="D44" s="3" t="s">
        <v>110</v>
      </c>
      <c r="E44" s="3">
        <v>30</v>
      </c>
      <c r="F44" s="111">
        <v>5000</v>
      </c>
      <c r="G44" s="3">
        <v>1</v>
      </c>
      <c r="H44" s="16">
        <v>1</v>
      </c>
      <c r="I44" s="24">
        <f t="shared" si="10"/>
        <v>150000</v>
      </c>
      <c r="J44" s="133">
        <f t="shared" ref="J44:J51" si="11">I44/54</f>
        <v>2777.7777777777778</v>
      </c>
    </row>
    <row r="45" spans="1:10" x14ac:dyDescent="0.3">
      <c r="A45" s="3"/>
      <c r="B45" s="3" t="s">
        <v>95</v>
      </c>
      <c r="C45" s="3" t="s">
        <v>96</v>
      </c>
      <c r="D45" s="3" t="s">
        <v>110</v>
      </c>
      <c r="E45" s="3">
        <v>30</v>
      </c>
      <c r="F45" s="111">
        <v>10000</v>
      </c>
      <c r="G45" s="3">
        <v>3</v>
      </c>
      <c r="H45" s="16">
        <v>1</v>
      </c>
      <c r="I45" s="24">
        <f t="shared" si="10"/>
        <v>900000</v>
      </c>
      <c r="J45" s="133">
        <f t="shared" si="11"/>
        <v>16666.666666666668</v>
      </c>
    </row>
    <row r="46" spans="1:10" x14ac:dyDescent="0.3">
      <c r="A46" s="3"/>
      <c r="B46" s="3" t="s">
        <v>97</v>
      </c>
      <c r="C46" s="3" t="s">
        <v>171</v>
      </c>
      <c r="D46" s="3" t="s">
        <v>110</v>
      </c>
      <c r="E46" s="3">
        <v>40</v>
      </c>
      <c r="F46" s="111">
        <v>1500</v>
      </c>
      <c r="G46" s="3">
        <v>3</v>
      </c>
      <c r="H46" s="16">
        <v>1</v>
      </c>
      <c r="I46" s="24">
        <f t="shared" si="10"/>
        <v>180000</v>
      </c>
      <c r="J46" s="133">
        <f t="shared" si="11"/>
        <v>3333.3333333333335</v>
      </c>
    </row>
    <row r="47" spans="1:10" x14ac:dyDescent="0.3">
      <c r="A47" s="3"/>
      <c r="B47" s="3" t="s">
        <v>99</v>
      </c>
      <c r="C47" s="3" t="s">
        <v>100</v>
      </c>
      <c r="D47" s="3" t="s">
        <v>112</v>
      </c>
      <c r="E47" s="3">
        <v>1</v>
      </c>
      <c r="F47" s="111">
        <v>10000</v>
      </c>
      <c r="G47" s="3">
        <v>3</v>
      </c>
      <c r="H47" s="16">
        <v>1</v>
      </c>
      <c r="I47" s="24">
        <f t="shared" si="10"/>
        <v>30000</v>
      </c>
      <c r="J47" s="133">
        <f t="shared" si="11"/>
        <v>555.55555555555554</v>
      </c>
    </row>
    <row r="48" spans="1:10" x14ac:dyDescent="0.3">
      <c r="A48" s="3"/>
      <c r="B48" s="3" t="s">
        <v>101</v>
      </c>
      <c r="C48" s="3" t="s">
        <v>102</v>
      </c>
      <c r="D48" s="3"/>
      <c r="E48" s="3">
        <v>1</v>
      </c>
      <c r="F48" s="111">
        <v>25000</v>
      </c>
      <c r="G48" s="3">
        <v>3</v>
      </c>
      <c r="H48" s="16">
        <v>1</v>
      </c>
      <c r="I48" s="24">
        <f t="shared" si="10"/>
        <v>75000</v>
      </c>
      <c r="J48" s="133">
        <f t="shared" si="11"/>
        <v>1388.8888888888889</v>
      </c>
    </row>
    <row r="49" spans="1:10" x14ac:dyDescent="0.3">
      <c r="A49" s="3"/>
      <c r="B49" s="3" t="s">
        <v>103</v>
      </c>
      <c r="C49" s="3" t="s">
        <v>104</v>
      </c>
      <c r="D49" s="3" t="s">
        <v>105</v>
      </c>
      <c r="E49" s="3">
        <v>1</v>
      </c>
      <c r="F49" s="111">
        <v>25000</v>
      </c>
      <c r="G49" s="3">
        <v>3</v>
      </c>
      <c r="H49" s="16">
        <v>1</v>
      </c>
      <c r="I49" s="24">
        <f t="shared" si="10"/>
        <v>75000</v>
      </c>
      <c r="J49" s="133">
        <f t="shared" si="11"/>
        <v>1388.8888888888889</v>
      </c>
    </row>
    <row r="50" spans="1:10" x14ac:dyDescent="0.3">
      <c r="A50" s="3"/>
      <c r="B50" s="3" t="s">
        <v>106</v>
      </c>
      <c r="C50" s="3" t="s">
        <v>107</v>
      </c>
      <c r="D50" s="3"/>
      <c r="E50" s="3">
        <v>40</v>
      </c>
      <c r="F50" s="111">
        <v>400</v>
      </c>
      <c r="G50" s="3">
        <v>3</v>
      </c>
      <c r="H50" s="16">
        <v>1</v>
      </c>
      <c r="I50" s="24">
        <f t="shared" si="10"/>
        <v>48000</v>
      </c>
      <c r="J50" s="133">
        <f t="shared" si="11"/>
        <v>888.88888888888891</v>
      </c>
    </row>
    <row r="51" spans="1:10" x14ac:dyDescent="0.3">
      <c r="A51" s="3"/>
      <c r="B51" s="3"/>
      <c r="C51" s="3"/>
      <c r="D51" s="82" t="s">
        <v>10</v>
      </c>
      <c r="E51" s="82"/>
      <c r="F51" s="122"/>
      <c r="G51" s="82"/>
      <c r="H51" s="123"/>
      <c r="I51" s="121">
        <f>SUM(I43:I50)</f>
        <v>1578000</v>
      </c>
      <c r="J51" s="121">
        <f t="shared" si="11"/>
        <v>29222.222222222223</v>
      </c>
    </row>
    <row r="52" spans="1:10" x14ac:dyDescent="0.3">
      <c r="A52" s="3"/>
      <c r="B52" s="3"/>
      <c r="C52" s="3"/>
      <c r="D52" s="3"/>
      <c r="E52" s="3"/>
      <c r="F52" s="3"/>
      <c r="G52" s="3"/>
      <c r="H52" s="16"/>
      <c r="I52" s="3"/>
      <c r="J52" s="3"/>
    </row>
    <row r="53" spans="1:10" x14ac:dyDescent="0.3">
      <c r="A53" s="3"/>
      <c r="B53" s="3"/>
      <c r="C53" s="3"/>
      <c r="D53" s="83" t="s">
        <v>19</v>
      </c>
      <c r="E53" s="83"/>
      <c r="F53" s="83"/>
      <c r="G53" s="83"/>
      <c r="H53" s="131"/>
      <c r="I53" s="132">
        <f>I40+I51</f>
        <v>1968000</v>
      </c>
      <c r="J53" s="132">
        <f>J40+J51</f>
        <v>36444.444444444445</v>
      </c>
    </row>
    <row r="56" spans="1:10" x14ac:dyDescent="0.3">
      <c r="A56" s="772" t="s">
        <v>264</v>
      </c>
      <c r="B56" s="773"/>
      <c r="C56" s="773"/>
      <c r="D56" s="773"/>
      <c r="E56" s="773"/>
      <c r="F56" s="773"/>
      <c r="G56" s="773"/>
      <c r="H56" s="773"/>
      <c r="I56" s="773"/>
      <c r="J56" s="773"/>
    </row>
    <row r="57" spans="1:10" x14ac:dyDescent="0.3">
      <c r="A57" s="26"/>
      <c r="B57" s="26"/>
      <c r="C57" s="26" t="s">
        <v>4</v>
      </c>
      <c r="D57" s="26" t="s">
        <v>79</v>
      </c>
      <c r="E57" s="26" t="s">
        <v>80</v>
      </c>
      <c r="F57" s="26" t="s">
        <v>50</v>
      </c>
      <c r="G57" s="26" t="s">
        <v>57</v>
      </c>
      <c r="H57" s="27" t="s">
        <v>53</v>
      </c>
      <c r="I57" s="28" t="s">
        <v>65</v>
      </c>
      <c r="J57" s="28" t="s">
        <v>81</v>
      </c>
    </row>
    <row r="58" spans="1:10" x14ac:dyDescent="0.3">
      <c r="A58" s="3"/>
      <c r="B58" s="3" t="s">
        <v>86</v>
      </c>
      <c r="C58" s="3" t="s">
        <v>213</v>
      </c>
      <c r="D58" s="3" t="s">
        <v>110</v>
      </c>
      <c r="E58" s="3">
        <v>30</v>
      </c>
      <c r="F58" s="111">
        <v>20000</v>
      </c>
      <c r="G58" s="3">
        <v>1</v>
      </c>
      <c r="H58" s="16">
        <v>1</v>
      </c>
      <c r="I58" s="24">
        <f t="shared" ref="I58:I61" si="12">E58*F58*G58*H58</f>
        <v>600000</v>
      </c>
      <c r="J58" s="133">
        <f t="shared" ref="J58:J62" si="13">I58/54</f>
        <v>11111.111111111111</v>
      </c>
    </row>
    <row r="59" spans="1:10" x14ac:dyDescent="0.3">
      <c r="A59" s="3"/>
      <c r="B59" s="3" t="s">
        <v>95</v>
      </c>
      <c r="C59" s="3" t="s">
        <v>96</v>
      </c>
      <c r="D59" s="3" t="s">
        <v>110</v>
      </c>
      <c r="E59" s="3">
        <v>30</v>
      </c>
      <c r="F59" s="111">
        <v>10000</v>
      </c>
      <c r="G59" s="3">
        <v>3</v>
      </c>
      <c r="H59" s="16">
        <v>1</v>
      </c>
      <c r="I59" s="24">
        <f t="shared" si="12"/>
        <v>900000</v>
      </c>
      <c r="J59" s="133">
        <f t="shared" si="13"/>
        <v>16666.666666666668</v>
      </c>
    </row>
    <row r="60" spans="1:10" x14ac:dyDescent="0.3">
      <c r="A60" s="3"/>
      <c r="B60" s="3" t="s">
        <v>97</v>
      </c>
      <c r="C60" s="3" t="s">
        <v>171</v>
      </c>
      <c r="D60" s="3" t="s">
        <v>110</v>
      </c>
      <c r="E60" s="3">
        <v>30</v>
      </c>
      <c r="F60" s="111">
        <v>1500</v>
      </c>
      <c r="G60" s="3">
        <v>3</v>
      </c>
      <c r="H60" s="16">
        <v>1</v>
      </c>
      <c r="I60" s="24">
        <f t="shared" si="12"/>
        <v>135000</v>
      </c>
      <c r="J60" s="133">
        <f t="shared" si="13"/>
        <v>2500</v>
      </c>
    </row>
    <row r="61" spans="1:10" x14ac:dyDescent="0.3">
      <c r="A61" s="3"/>
      <c r="B61" s="3" t="s">
        <v>106</v>
      </c>
      <c r="C61" s="3" t="s">
        <v>107</v>
      </c>
      <c r="D61" s="3"/>
      <c r="E61" s="3">
        <v>30</v>
      </c>
      <c r="F61" s="111">
        <v>400</v>
      </c>
      <c r="G61" s="3">
        <v>3</v>
      </c>
      <c r="H61" s="16">
        <v>1</v>
      </c>
      <c r="I61" s="24">
        <f t="shared" si="12"/>
        <v>36000</v>
      </c>
      <c r="J61" s="133">
        <f t="shared" si="13"/>
        <v>666.66666666666663</v>
      </c>
    </row>
    <row r="62" spans="1:10" x14ac:dyDescent="0.3">
      <c r="A62" s="3"/>
      <c r="B62" s="3"/>
      <c r="C62" s="3"/>
      <c r="D62" s="82" t="s">
        <v>10</v>
      </c>
      <c r="E62" s="82"/>
      <c r="F62" s="122"/>
      <c r="G62" s="82"/>
      <c r="H62" s="123"/>
      <c r="I62" s="121">
        <f>SUM(I58:I61)</f>
        <v>1671000</v>
      </c>
      <c r="J62" s="121">
        <f t="shared" si="13"/>
        <v>30944.444444444445</v>
      </c>
    </row>
    <row r="64" spans="1:10" x14ac:dyDescent="0.3">
      <c r="A64" s="26"/>
      <c r="B64" s="26"/>
      <c r="C64" s="26" t="s">
        <v>4</v>
      </c>
      <c r="D64" s="26" t="s">
        <v>79</v>
      </c>
      <c r="E64" s="26" t="s">
        <v>80</v>
      </c>
      <c r="F64" s="26" t="s">
        <v>50</v>
      </c>
      <c r="G64" s="26" t="s">
        <v>57</v>
      </c>
      <c r="H64" s="27" t="s">
        <v>53</v>
      </c>
      <c r="I64" s="28" t="s">
        <v>65</v>
      </c>
      <c r="J64" s="28" t="s">
        <v>81</v>
      </c>
    </row>
    <row r="65" spans="1:12" x14ac:dyDescent="0.3">
      <c r="A65" s="3"/>
      <c r="B65" s="3" t="s">
        <v>92</v>
      </c>
      <c r="C65" s="3" t="s">
        <v>93</v>
      </c>
      <c r="D65" s="3"/>
      <c r="E65" s="3">
        <v>40</v>
      </c>
      <c r="F65" s="111">
        <v>1000</v>
      </c>
      <c r="G65" s="3">
        <v>1</v>
      </c>
      <c r="H65" s="16">
        <v>1</v>
      </c>
      <c r="I65" s="24">
        <f t="shared" ref="I65:I72" si="14">E65*F65*G65*H65</f>
        <v>40000</v>
      </c>
      <c r="J65" s="133">
        <f>I65/54</f>
        <v>740.74074074074076</v>
      </c>
    </row>
    <row r="66" spans="1:12" x14ac:dyDescent="0.3">
      <c r="A66" s="3"/>
      <c r="B66" s="3" t="s">
        <v>86</v>
      </c>
      <c r="C66" s="3" t="s">
        <v>94</v>
      </c>
      <c r="D66" s="3" t="s">
        <v>110</v>
      </c>
      <c r="E66" s="3">
        <v>30</v>
      </c>
      <c r="F66" s="111">
        <v>5000</v>
      </c>
      <c r="G66" s="3">
        <v>0</v>
      </c>
      <c r="H66" s="16">
        <v>1</v>
      </c>
      <c r="I66" s="24">
        <f t="shared" si="14"/>
        <v>0</v>
      </c>
      <c r="J66" s="133">
        <f t="shared" ref="J66:J73" si="15">I66/54</f>
        <v>0</v>
      </c>
    </row>
    <row r="67" spans="1:12" x14ac:dyDescent="0.3">
      <c r="A67" s="3"/>
      <c r="B67" s="3" t="s">
        <v>95</v>
      </c>
      <c r="C67" s="3" t="s">
        <v>96</v>
      </c>
      <c r="D67" s="3" t="s">
        <v>110</v>
      </c>
      <c r="E67" s="3">
        <v>30</v>
      </c>
      <c r="F67" s="111">
        <v>10000</v>
      </c>
      <c r="G67" s="3">
        <v>0</v>
      </c>
      <c r="H67" s="16">
        <v>1</v>
      </c>
      <c r="I67" s="24">
        <f t="shared" si="14"/>
        <v>0</v>
      </c>
      <c r="J67" s="133">
        <f t="shared" si="15"/>
        <v>0</v>
      </c>
    </row>
    <row r="68" spans="1:12" x14ac:dyDescent="0.3">
      <c r="A68" s="3"/>
      <c r="B68" s="3" t="s">
        <v>97</v>
      </c>
      <c r="C68" s="3" t="s">
        <v>171</v>
      </c>
      <c r="D68" s="3" t="s">
        <v>110</v>
      </c>
      <c r="E68" s="3">
        <v>40</v>
      </c>
      <c r="F68" s="111">
        <v>1500</v>
      </c>
      <c r="G68" s="3">
        <v>0</v>
      </c>
      <c r="H68" s="16">
        <v>1</v>
      </c>
      <c r="I68" s="24">
        <f t="shared" si="14"/>
        <v>0</v>
      </c>
      <c r="J68" s="133">
        <f t="shared" si="15"/>
        <v>0</v>
      </c>
    </row>
    <row r="69" spans="1:12" x14ac:dyDescent="0.3">
      <c r="A69" s="3"/>
      <c r="B69" s="3" t="s">
        <v>99</v>
      </c>
      <c r="C69" s="3" t="s">
        <v>100</v>
      </c>
      <c r="D69" s="3" t="s">
        <v>112</v>
      </c>
      <c r="E69" s="3">
        <v>1</v>
      </c>
      <c r="F69" s="111">
        <v>10000</v>
      </c>
      <c r="G69" s="3">
        <v>1</v>
      </c>
      <c r="H69" s="16">
        <v>1</v>
      </c>
      <c r="I69" s="24">
        <f t="shared" si="14"/>
        <v>10000</v>
      </c>
      <c r="J69" s="133">
        <f t="shared" si="15"/>
        <v>185.18518518518519</v>
      </c>
    </row>
    <row r="70" spans="1:12" x14ac:dyDescent="0.3">
      <c r="A70" s="3"/>
      <c r="B70" s="3" t="s">
        <v>101</v>
      </c>
      <c r="C70" s="3" t="s">
        <v>102</v>
      </c>
      <c r="D70" s="3"/>
      <c r="E70" s="3">
        <v>1</v>
      </c>
      <c r="F70" s="111">
        <v>25000</v>
      </c>
      <c r="G70" s="3">
        <v>1</v>
      </c>
      <c r="H70" s="16">
        <v>1</v>
      </c>
      <c r="I70" s="24">
        <f t="shared" si="14"/>
        <v>25000</v>
      </c>
      <c r="J70" s="133">
        <f t="shared" si="15"/>
        <v>462.96296296296299</v>
      </c>
    </row>
    <row r="71" spans="1:12" x14ac:dyDescent="0.3">
      <c r="A71" s="3"/>
      <c r="B71" s="3" t="s">
        <v>103</v>
      </c>
      <c r="C71" s="3" t="s">
        <v>104</v>
      </c>
      <c r="D71" s="3" t="s">
        <v>105</v>
      </c>
      <c r="E71" s="3">
        <v>1</v>
      </c>
      <c r="F71" s="111">
        <v>25000</v>
      </c>
      <c r="G71" s="3">
        <v>1</v>
      </c>
      <c r="H71" s="16">
        <v>1</v>
      </c>
      <c r="I71" s="24">
        <f t="shared" si="14"/>
        <v>25000</v>
      </c>
      <c r="J71" s="133">
        <f t="shared" si="15"/>
        <v>462.96296296296299</v>
      </c>
    </row>
    <row r="72" spans="1:12" x14ac:dyDescent="0.3">
      <c r="A72" s="3"/>
      <c r="B72" s="3" t="s">
        <v>106</v>
      </c>
      <c r="C72" s="3" t="s">
        <v>107</v>
      </c>
      <c r="D72" s="3"/>
      <c r="E72" s="3">
        <v>40</v>
      </c>
      <c r="F72" s="111">
        <v>400</v>
      </c>
      <c r="G72" s="3">
        <v>1</v>
      </c>
      <c r="H72" s="16">
        <v>1</v>
      </c>
      <c r="I72" s="24">
        <f t="shared" si="14"/>
        <v>16000</v>
      </c>
      <c r="J72" s="133">
        <f t="shared" si="15"/>
        <v>296.2962962962963</v>
      </c>
    </row>
    <row r="73" spans="1:12" x14ac:dyDescent="0.3">
      <c r="A73" s="3"/>
      <c r="B73" s="3"/>
      <c r="C73" s="3"/>
      <c r="D73" s="82" t="s">
        <v>10</v>
      </c>
      <c r="E73" s="82"/>
      <c r="F73" s="122"/>
      <c r="G73" s="82"/>
      <c r="H73" s="123"/>
      <c r="I73" s="121">
        <f>SUM(I65:I72)</f>
        <v>116000</v>
      </c>
      <c r="J73" s="121">
        <f t="shared" si="15"/>
        <v>2148.1481481481483</v>
      </c>
    </row>
    <row r="74" spans="1:12" x14ac:dyDescent="0.3">
      <c r="A74" s="3"/>
      <c r="B74" s="3"/>
      <c r="C74" s="3"/>
      <c r="D74" s="3"/>
      <c r="E74" s="3"/>
      <c r="F74" s="3"/>
      <c r="G74" s="3"/>
      <c r="H74" s="16"/>
      <c r="I74" s="3"/>
      <c r="J74" s="3"/>
    </row>
    <row r="75" spans="1:12" x14ac:dyDescent="0.3">
      <c r="A75" s="3"/>
      <c r="B75" s="3"/>
      <c r="C75" s="3"/>
      <c r="D75" s="83" t="s">
        <v>19</v>
      </c>
      <c r="E75" s="83"/>
      <c r="F75" s="83"/>
      <c r="G75" s="83"/>
      <c r="H75" s="131"/>
      <c r="I75" s="132">
        <f>SUM(I62+I73)</f>
        <v>1787000</v>
      </c>
      <c r="J75" s="132">
        <f>SUM(I75/54)</f>
        <v>33092.592592592591</v>
      </c>
      <c r="L75" s="134">
        <f>I75/40</f>
        <v>44675</v>
      </c>
    </row>
  </sheetData>
  <mergeCells count="17">
    <mergeCell ref="B18:J18"/>
    <mergeCell ref="B6:J6"/>
    <mergeCell ref="L7:O7"/>
    <mergeCell ref="C8:J8"/>
    <mergeCell ref="C9:J9"/>
    <mergeCell ref="C10:J10"/>
    <mergeCell ref="C11:J11"/>
    <mergeCell ref="C12:J12"/>
    <mergeCell ref="C13:J13"/>
    <mergeCell ref="C14:J14"/>
    <mergeCell ref="C15:J15"/>
    <mergeCell ref="L17:O17"/>
    <mergeCell ref="B29:J29"/>
    <mergeCell ref="A31:J31"/>
    <mergeCell ref="A33:D33"/>
    <mergeCell ref="A42:D42"/>
    <mergeCell ref="A56:J5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142"/>
  <sheetViews>
    <sheetView zoomScale="70" zoomScaleNormal="70" workbookViewId="0">
      <selection activeCell="M36" sqref="M36"/>
    </sheetView>
  </sheetViews>
  <sheetFormatPr defaultColWidth="10.109375" defaultRowHeight="14.4" x14ac:dyDescent="0.3"/>
  <cols>
    <col min="1" max="1" width="3.109375" style="1" customWidth="1"/>
    <col min="2" max="2" width="6.109375" style="1" customWidth="1"/>
    <col min="3" max="3" width="69.88671875" style="1" customWidth="1"/>
    <col min="4" max="4" width="21.88671875" style="1" bestFit="1" customWidth="1"/>
    <col min="5" max="5" width="17.6640625" style="1" bestFit="1" customWidth="1"/>
    <col min="6" max="6" width="27" style="1" bestFit="1" customWidth="1"/>
    <col min="7" max="7" width="19" style="1" bestFit="1" customWidth="1"/>
    <col min="8" max="8" width="15.88671875" style="1" bestFit="1" customWidth="1"/>
    <col min="9" max="9" width="16.33203125" style="1" customWidth="1"/>
    <col min="10" max="10" width="12.33203125" style="1" bestFit="1" customWidth="1"/>
    <col min="11" max="11" width="14.6640625" style="1" bestFit="1" customWidth="1"/>
    <col min="12" max="12" width="12.33203125" style="1" bestFit="1" customWidth="1"/>
    <col min="13" max="13" width="14" style="1" bestFit="1" customWidth="1"/>
    <col min="14" max="15" width="14.44140625" style="1" bestFit="1" customWidth="1"/>
    <col min="16" max="16" width="17.33203125" style="1" bestFit="1" customWidth="1"/>
    <col min="17" max="18" width="18.6640625" style="1" bestFit="1" customWidth="1"/>
    <col min="19" max="19" width="18.44140625" style="1" bestFit="1" customWidth="1"/>
    <col min="20" max="16384" width="10.109375" style="1"/>
  </cols>
  <sheetData>
    <row r="2" spans="2:19" x14ac:dyDescent="0.3">
      <c r="B2" s="190">
        <v>3.3</v>
      </c>
      <c r="C2" s="65" t="s">
        <v>566</v>
      </c>
      <c r="D2" s="62" t="s">
        <v>26</v>
      </c>
      <c r="E2" s="62" t="s">
        <v>27</v>
      </c>
      <c r="F2" s="62" t="s">
        <v>28</v>
      </c>
      <c r="G2" s="62" t="s">
        <v>9</v>
      </c>
    </row>
    <row r="3" spans="2:19" x14ac:dyDescent="0.3">
      <c r="B3" s="51"/>
      <c r="C3" s="66"/>
      <c r="D3" s="67">
        <f>P31</f>
        <v>1948980.5555555555</v>
      </c>
      <c r="E3" s="67">
        <f t="shared" ref="E3:F3" si="0">Q31</f>
        <v>1902684.2592592591</v>
      </c>
      <c r="F3" s="67">
        <f t="shared" si="0"/>
        <v>1763003.7037037036</v>
      </c>
      <c r="G3" s="67">
        <f>D3+E3+F3</f>
        <v>5614668.5185185177</v>
      </c>
    </row>
    <row r="4" spans="2:19" x14ac:dyDescent="0.3">
      <c r="B4" s="51"/>
      <c r="C4" s="68" t="s">
        <v>10</v>
      </c>
      <c r="D4" s="69">
        <f>D3</f>
        <v>1948980.5555555555</v>
      </c>
      <c r="E4" s="69">
        <f t="shared" ref="E4:G4" si="1">E3</f>
        <v>1902684.2592592591</v>
      </c>
      <c r="F4" s="69">
        <f t="shared" si="1"/>
        <v>1763003.7037037036</v>
      </c>
      <c r="G4" s="69">
        <f t="shared" si="1"/>
        <v>5614668.5185185177</v>
      </c>
    </row>
    <row r="5" spans="2:19" x14ac:dyDescent="0.3">
      <c r="B5" s="78"/>
      <c r="C5" s="73"/>
      <c r="D5" s="74"/>
      <c r="E5" s="74"/>
      <c r="F5" s="74"/>
      <c r="G5" s="74"/>
    </row>
    <row r="6" spans="2:19" ht="20.100000000000001" customHeight="1" x14ac:dyDescent="0.3">
      <c r="B6" s="794" t="s">
        <v>34</v>
      </c>
      <c r="C6" s="794"/>
      <c r="D6" s="794"/>
      <c r="E6" s="794"/>
      <c r="F6" s="794"/>
      <c r="G6" s="794"/>
      <c r="H6" s="794"/>
      <c r="I6" s="794"/>
      <c r="J6" s="794"/>
      <c r="K6" s="3"/>
      <c r="L6" s="3"/>
      <c r="M6" s="3"/>
      <c r="N6" s="3"/>
      <c r="O6" s="3"/>
      <c r="P6" s="8"/>
      <c r="Q6" s="8"/>
      <c r="R6" s="8"/>
      <c r="S6" s="6"/>
    </row>
    <row r="7" spans="2:19" ht="20.100000000000001" customHeight="1" x14ac:dyDescent="0.3">
      <c r="B7" s="51"/>
      <c r="C7" s="73"/>
      <c r="D7" s="74"/>
      <c r="E7" s="74"/>
      <c r="F7" s="74"/>
      <c r="G7" s="74"/>
      <c r="H7" s="3"/>
      <c r="I7" s="3"/>
      <c r="J7" s="3"/>
      <c r="K7" s="3"/>
      <c r="L7" s="782" t="s">
        <v>26</v>
      </c>
      <c r="M7" s="782"/>
      <c r="N7" s="782"/>
      <c r="O7" s="782"/>
      <c r="P7" s="136" t="s">
        <v>26</v>
      </c>
      <c r="Q7" s="137" t="s">
        <v>27</v>
      </c>
      <c r="R7" s="137" t="s">
        <v>28</v>
      </c>
      <c r="S7" s="77" t="s">
        <v>19</v>
      </c>
    </row>
    <row r="8" spans="2:19" ht="20.100000000000001" customHeight="1" x14ac:dyDescent="0.3">
      <c r="B8" s="78"/>
      <c r="C8" s="795" t="str">
        <f>B20</f>
        <v>Develop and Broadcast immunisation messages through mass media</v>
      </c>
      <c r="D8" s="796"/>
      <c r="E8" s="796"/>
      <c r="F8" s="796"/>
      <c r="G8" s="796"/>
      <c r="H8" s="796"/>
      <c r="I8" s="796"/>
      <c r="J8" s="797"/>
      <c r="K8" s="3"/>
      <c r="L8" s="80" t="s">
        <v>36</v>
      </c>
      <c r="M8" s="80" t="s">
        <v>37</v>
      </c>
      <c r="N8" s="80" t="s">
        <v>38</v>
      </c>
      <c r="O8" s="80" t="s">
        <v>39</v>
      </c>
      <c r="P8" s="136" t="s">
        <v>9</v>
      </c>
      <c r="Q8" s="137" t="s">
        <v>9</v>
      </c>
      <c r="R8" s="137" t="s">
        <v>9</v>
      </c>
      <c r="S8" s="77"/>
    </row>
    <row r="9" spans="2:19" ht="20.100000000000001" customHeight="1" x14ac:dyDescent="0.3">
      <c r="B9" s="78">
        <v>1</v>
      </c>
      <c r="C9" s="787" t="str">
        <f>C22</f>
        <v>Produce Two TV and radio PSAs highlighting key messages on RI</v>
      </c>
      <c r="D9" s="788"/>
      <c r="E9" s="788"/>
      <c r="F9" s="788"/>
      <c r="G9" s="788"/>
      <c r="H9" s="788"/>
      <c r="I9" s="788"/>
      <c r="J9" s="789"/>
      <c r="K9" s="3"/>
      <c r="L9" s="3"/>
      <c r="M9" s="3"/>
      <c r="N9" s="3"/>
      <c r="O9" s="3"/>
      <c r="P9" s="8"/>
      <c r="Q9" s="8"/>
      <c r="R9" s="8"/>
      <c r="S9" s="6"/>
    </row>
    <row r="10" spans="2:19" ht="20.100000000000001" customHeight="1" x14ac:dyDescent="0.3">
      <c r="B10" s="78"/>
      <c r="C10" s="787" t="str">
        <f>C23</f>
        <v>Professional agency fee for development of 2 TV and radio PSAs (As per UNICEF LTA rates)</v>
      </c>
      <c r="D10" s="788"/>
      <c r="E10" s="788"/>
      <c r="F10" s="788"/>
      <c r="G10" s="788"/>
      <c r="H10" s="788"/>
      <c r="I10" s="788"/>
      <c r="J10" s="789"/>
      <c r="K10" s="3"/>
      <c r="L10" s="3"/>
      <c r="M10" s="3"/>
      <c r="N10" s="3">
        <v>1</v>
      </c>
      <c r="O10" s="3"/>
      <c r="P10" s="8"/>
      <c r="Q10" s="8">
        <v>1</v>
      </c>
      <c r="R10" s="8"/>
      <c r="S10" s="6"/>
    </row>
    <row r="11" spans="2:19" ht="20.100000000000001" customHeight="1" x14ac:dyDescent="0.3">
      <c r="B11" s="78">
        <v>2</v>
      </c>
      <c r="C11" s="787" t="str">
        <f t="shared" ref="C11:C17" si="2">C24</f>
        <v>Pretesting fees for 2 TV and radio PSAs (Contract to external agency to pretest in 3 states for each of two TV spots)</v>
      </c>
      <c r="D11" s="788"/>
      <c r="E11" s="788"/>
      <c r="F11" s="788"/>
      <c r="G11" s="788"/>
      <c r="H11" s="788"/>
      <c r="I11" s="788"/>
      <c r="J11" s="789"/>
      <c r="K11" s="3"/>
      <c r="L11" s="3"/>
      <c r="M11" s="3"/>
      <c r="N11" s="3">
        <v>1</v>
      </c>
      <c r="O11" s="3"/>
      <c r="P11" s="8"/>
      <c r="Q11" s="8">
        <v>1</v>
      </c>
      <c r="R11" s="8"/>
      <c r="S11" s="6"/>
    </row>
    <row r="12" spans="2:19" ht="20.100000000000001" customHeight="1" x14ac:dyDescent="0.3">
      <c r="B12" s="78">
        <v>3</v>
      </c>
      <c r="C12" s="787" t="str">
        <f t="shared" si="2"/>
        <v xml:space="preserve">Dubbing, duplication and distribution of 4 PSAs into 4 different Indian languages </v>
      </c>
      <c r="D12" s="788"/>
      <c r="E12" s="788"/>
      <c r="F12" s="788"/>
      <c r="G12" s="788"/>
      <c r="H12" s="788"/>
      <c r="I12" s="788"/>
      <c r="J12" s="789"/>
      <c r="K12" s="3"/>
      <c r="L12" s="3"/>
      <c r="M12" s="3"/>
      <c r="N12" s="3"/>
      <c r="O12" s="3">
        <v>8</v>
      </c>
      <c r="P12" s="8">
        <v>8</v>
      </c>
      <c r="Q12" s="8">
        <v>8</v>
      </c>
      <c r="R12" s="8"/>
      <c r="S12" s="6">
        <v>8</v>
      </c>
    </row>
    <row r="13" spans="2:19" ht="20.100000000000001" customHeight="1" x14ac:dyDescent="0.3">
      <c r="B13" s="78">
        <v>4</v>
      </c>
      <c r="C13" s="787" t="str">
        <f t="shared" si="2"/>
        <v>Media planning and purchase of airtime for PSAs (Two TV and two radio spots braodcasting multiple times in 5 languages across 12 states - Contract to external agency)</v>
      </c>
      <c r="D13" s="788"/>
      <c r="E13" s="788"/>
      <c r="F13" s="788"/>
      <c r="G13" s="788"/>
      <c r="H13" s="788"/>
      <c r="I13" s="788"/>
      <c r="J13" s="789"/>
      <c r="K13" s="3"/>
      <c r="L13" s="3"/>
      <c r="M13" s="3" t="s">
        <v>143</v>
      </c>
      <c r="N13" s="3" t="s">
        <v>143</v>
      </c>
      <c r="O13" s="3" t="s">
        <v>143</v>
      </c>
      <c r="P13" s="8"/>
      <c r="Q13" s="8" t="s">
        <v>143</v>
      </c>
      <c r="R13" s="8" t="s">
        <v>143</v>
      </c>
      <c r="S13" s="6"/>
    </row>
    <row r="14" spans="2:19" ht="20.100000000000001" customHeight="1" x14ac:dyDescent="0.3">
      <c r="B14" s="78"/>
      <c r="C14" s="787" t="str">
        <f t="shared" si="2"/>
        <v>IEC Prototypes will be developed to enable Center and state for public branding of RI (Contract to external agency, as per UNICEF LTA rates)</v>
      </c>
      <c r="D14" s="788"/>
      <c r="E14" s="788"/>
      <c r="F14" s="788"/>
      <c r="G14" s="788"/>
      <c r="H14" s="788"/>
      <c r="I14" s="788"/>
      <c r="J14" s="789"/>
      <c r="K14" s="3"/>
      <c r="L14" s="3"/>
      <c r="M14" s="3"/>
      <c r="N14" s="3"/>
      <c r="O14" s="3"/>
      <c r="P14" s="8"/>
      <c r="Q14" s="8">
        <v>1</v>
      </c>
      <c r="R14" s="8"/>
      <c r="S14" s="6">
        <v>1</v>
      </c>
    </row>
    <row r="15" spans="2:19" ht="20.100000000000001" customHeight="1" x14ac:dyDescent="0.3">
      <c r="B15" s="78">
        <v>6</v>
      </c>
      <c r="C15" s="787" t="str">
        <f t="shared" si="2"/>
        <v>Pretesting fees</v>
      </c>
      <c r="D15" s="788"/>
      <c r="E15" s="788"/>
      <c r="F15" s="788"/>
      <c r="G15" s="788"/>
      <c r="H15" s="788"/>
      <c r="I15" s="788"/>
      <c r="J15" s="789"/>
      <c r="K15" s="3"/>
      <c r="L15" s="3"/>
      <c r="M15" s="3"/>
      <c r="N15" s="3"/>
      <c r="O15" s="3"/>
      <c r="P15" s="8"/>
      <c r="Q15" s="8">
        <v>6</v>
      </c>
      <c r="R15" s="8"/>
      <c r="S15" s="6">
        <v>6</v>
      </c>
    </row>
    <row r="16" spans="2:19" ht="20.100000000000001" customHeight="1" x14ac:dyDescent="0.3">
      <c r="B16" s="78"/>
      <c r="C16" s="787" t="str">
        <f t="shared" si="2"/>
        <v>Support development and organisation of mid-media activities (432 events) in high-focus districts in 12 states (Contract to external agency)</v>
      </c>
      <c r="D16" s="788"/>
      <c r="E16" s="788"/>
      <c r="F16" s="788"/>
      <c r="G16" s="788"/>
      <c r="H16" s="788"/>
      <c r="I16" s="788"/>
      <c r="J16" s="789"/>
      <c r="K16" s="3"/>
      <c r="L16" s="3"/>
      <c r="M16" s="3"/>
      <c r="N16" s="3"/>
      <c r="O16" s="3">
        <v>48</v>
      </c>
      <c r="P16" s="8">
        <v>48</v>
      </c>
      <c r="Q16" s="8">
        <f>48*4</f>
        <v>192</v>
      </c>
      <c r="R16" s="8">
        <f>48*4</f>
        <v>192</v>
      </c>
      <c r="S16" s="6">
        <v>432</v>
      </c>
    </row>
    <row r="17" spans="2:19" ht="29.25" customHeight="1" x14ac:dyDescent="0.3">
      <c r="B17" s="78"/>
      <c r="C17" s="787" t="str">
        <f t="shared" si="2"/>
        <v>Produce an advocacy film (promo) on routine immunization highlighting the milestones achieved so far in RI (2-3 minutes in duration) which can be used on several platforms (Contyract to external agency as per UNICEF LTA)</v>
      </c>
      <c r="D17" s="788"/>
      <c r="E17" s="788"/>
      <c r="F17" s="788"/>
      <c r="G17" s="788"/>
      <c r="H17" s="788"/>
      <c r="I17" s="788"/>
      <c r="J17" s="789"/>
      <c r="K17" s="3"/>
      <c r="L17" s="3"/>
      <c r="M17" s="3"/>
      <c r="N17" s="3"/>
      <c r="O17" s="3">
        <v>1</v>
      </c>
      <c r="P17" s="8"/>
      <c r="Q17" s="8"/>
      <c r="R17" s="8"/>
      <c r="S17" s="6"/>
    </row>
    <row r="18" spans="2:19" x14ac:dyDescent="0.3">
      <c r="P18" s="2"/>
      <c r="Q18" s="2"/>
      <c r="R18" s="2"/>
      <c r="S18" s="2"/>
    </row>
    <row r="19" spans="2:19" s="2" customFormat="1" x14ac:dyDescent="0.3">
      <c r="L19" s="778" t="s">
        <v>26</v>
      </c>
      <c r="M19" s="778"/>
      <c r="N19" s="778"/>
      <c r="O19" s="778"/>
      <c r="P19" s="140" t="str">
        <f>P7</f>
        <v>Year 1</v>
      </c>
      <c r="Q19" s="141" t="s">
        <v>27</v>
      </c>
      <c r="R19" s="141" t="s">
        <v>28</v>
      </c>
      <c r="S19" s="86" t="s">
        <v>19</v>
      </c>
    </row>
    <row r="20" spans="2:19" x14ac:dyDescent="0.3">
      <c r="B20" s="790" t="str">
        <f>C2</f>
        <v>Develop and Broadcast immunisation messages through mass media</v>
      </c>
      <c r="C20" s="790"/>
      <c r="D20" s="790"/>
      <c r="E20" s="790"/>
      <c r="F20" s="790"/>
      <c r="G20" s="790"/>
      <c r="H20" s="790"/>
      <c r="I20" s="790"/>
      <c r="J20" s="790"/>
      <c r="K20" s="3"/>
      <c r="L20" s="80" t="s">
        <v>36</v>
      </c>
      <c r="M20" s="80" t="s">
        <v>37</v>
      </c>
      <c r="N20" s="80" t="s">
        <v>38</v>
      </c>
      <c r="O20" s="80" t="s">
        <v>39</v>
      </c>
      <c r="P20" s="136" t="s">
        <v>9</v>
      </c>
      <c r="Q20" s="137" t="s">
        <v>9</v>
      </c>
      <c r="R20" s="137" t="s">
        <v>9</v>
      </c>
      <c r="S20" s="77"/>
    </row>
    <row r="21" spans="2:19" ht="15" thickBot="1" x14ac:dyDescent="0.35">
      <c r="B21" s="87"/>
      <c r="C21" s="87"/>
      <c r="D21" s="87" t="s">
        <v>79</v>
      </c>
      <c r="E21" s="87" t="s">
        <v>80</v>
      </c>
      <c r="F21" s="87" t="s">
        <v>146</v>
      </c>
      <c r="G21" s="87" t="s">
        <v>147</v>
      </c>
      <c r="H21" s="87" t="s">
        <v>148</v>
      </c>
      <c r="I21" s="88" t="s">
        <v>65</v>
      </c>
      <c r="J21" s="88" t="s">
        <v>81</v>
      </c>
      <c r="K21" s="3"/>
      <c r="L21" s="89"/>
      <c r="M21" s="89"/>
      <c r="N21" s="89"/>
      <c r="O21" s="89"/>
      <c r="P21" s="137"/>
      <c r="Q21" s="137"/>
      <c r="R21" s="137"/>
      <c r="S21" s="77"/>
    </row>
    <row r="22" spans="2:19" x14ac:dyDescent="0.3">
      <c r="B22" s="195" t="s">
        <v>265</v>
      </c>
      <c r="C22" s="662" t="s">
        <v>567</v>
      </c>
      <c r="D22" s="90"/>
      <c r="E22" s="91"/>
      <c r="F22" s="92"/>
      <c r="G22" s="90"/>
      <c r="H22" s="90"/>
      <c r="I22" s="93">
        <f t="shared" ref="I22:I29" si="3">E22*F22*G22*H22</f>
        <v>0</v>
      </c>
      <c r="J22" s="94">
        <f t="shared" ref="J22:J30" si="4">I22/54</f>
        <v>0</v>
      </c>
      <c r="K22" s="3"/>
      <c r="L22" s="89"/>
      <c r="M22" s="89"/>
      <c r="N22" s="89"/>
      <c r="O22" s="89"/>
      <c r="P22" s="137">
        <f>L22+M22+N22+O22</f>
        <v>0</v>
      </c>
      <c r="Q22" s="137">
        <f>J22</f>
        <v>0</v>
      </c>
      <c r="R22" s="137"/>
      <c r="S22" s="77">
        <f>P22+Q22+R22</f>
        <v>0</v>
      </c>
    </row>
    <row r="23" spans="2:19" ht="28.8" x14ac:dyDescent="0.3">
      <c r="B23" s="195"/>
      <c r="C23" s="196" t="s">
        <v>266</v>
      </c>
      <c r="D23" s="90"/>
      <c r="E23" s="91">
        <v>1</v>
      </c>
      <c r="F23" s="92">
        <v>5000000</v>
      </c>
      <c r="G23" s="90">
        <v>1</v>
      </c>
      <c r="H23" s="90">
        <v>1</v>
      </c>
      <c r="I23" s="93">
        <f t="shared" si="3"/>
        <v>5000000</v>
      </c>
      <c r="J23" s="94">
        <f t="shared" si="4"/>
        <v>92592.592592592599</v>
      </c>
      <c r="K23" s="3"/>
      <c r="L23" s="89"/>
      <c r="M23" s="89"/>
      <c r="N23" s="89">
        <f>J23*1</f>
        <v>92592.592592592599</v>
      </c>
      <c r="O23" s="89"/>
      <c r="P23" s="137">
        <f t="shared" ref="P23:P27" si="5">L23+M23+N23+O23</f>
        <v>92592.592592592599</v>
      </c>
      <c r="Q23" s="137">
        <f>J23*1</f>
        <v>92592.592592592599</v>
      </c>
      <c r="R23" s="137"/>
      <c r="S23" s="77">
        <f t="shared" ref="S23:S30" si="6">P23+Q23+R23</f>
        <v>185185.1851851852</v>
      </c>
    </row>
    <row r="24" spans="2:19" ht="28.8" x14ac:dyDescent="0.3">
      <c r="B24" s="195"/>
      <c r="C24" s="196" t="s">
        <v>267</v>
      </c>
      <c r="D24" s="90"/>
      <c r="E24" s="91">
        <v>1</v>
      </c>
      <c r="F24" s="92">
        <f>I136</f>
        <v>242750</v>
      </c>
      <c r="G24" s="90">
        <v>1</v>
      </c>
      <c r="H24" s="90">
        <v>1</v>
      </c>
      <c r="I24" s="93">
        <f t="shared" si="3"/>
        <v>242750</v>
      </c>
      <c r="J24" s="94">
        <f t="shared" si="4"/>
        <v>4495.3703703703704</v>
      </c>
      <c r="K24" s="3"/>
      <c r="L24" s="89"/>
      <c r="M24" s="89"/>
      <c r="N24" s="89">
        <f>J24*1</f>
        <v>4495.3703703703704</v>
      </c>
      <c r="O24" s="89"/>
      <c r="P24" s="137">
        <f t="shared" si="5"/>
        <v>4495.3703703703704</v>
      </c>
      <c r="Q24" s="137">
        <f>J24</f>
        <v>4495.3703703703704</v>
      </c>
      <c r="R24" s="137"/>
      <c r="S24" s="77">
        <f t="shared" si="6"/>
        <v>8990.7407407407409</v>
      </c>
    </row>
    <row r="25" spans="2:19" x14ac:dyDescent="0.3">
      <c r="B25" s="195"/>
      <c r="C25" s="196" t="s">
        <v>268</v>
      </c>
      <c r="D25" s="90"/>
      <c r="E25" s="91">
        <v>1</v>
      </c>
      <c r="F25" s="92">
        <v>100000</v>
      </c>
      <c r="G25" s="90">
        <v>1</v>
      </c>
      <c r="H25" s="90">
        <v>1</v>
      </c>
      <c r="I25" s="93">
        <f t="shared" si="3"/>
        <v>100000</v>
      </c>
      <c r="J25" s="94">
        <f t="shared" si="4"/>
        <v>1851.851851851852</v>
      </c>
      <c r="K25" s="3"/>
      <c r="L25" s="89"/>
      <c r="M25" s="89"/>
      <c r="N25" s="89"/>
      <c r="O25" s="89">
        <f>J25*8</f>
        <v>14814.814814814816</v>
      </c>
      <c r="P25" s="137">
        <f t="shared" si="5"/>
        <v>14814.814814814816</v>
      </c>
      <c r="Q25" s="137">
        <f>J25*8</f>
        <v>14814.814814814816</v>
      </c>
      <c r="R25" s="137"/>
      <c r="S25" s="77">
        <f t="shared" si="6"/>
        <v>29629.629629629631</v>
      </c>
    </row>
    <row r="26" spans="2:19" ht="43.2" x14ac:dyDescent="0.3">
      <c r="B26" s="195" t="s">
        <v>269</v>
      </c>
      <c r="C26" s="196" t="s">
        <v>568</v>
      </c>
      <c r="D26" s="90"/>
      <c r="E26" s="90">
        <v>1</v>
      </c>
      <c r="F26" s="92">
        <f>K142</f>
        <v>285606600</v>
      </c>
      <c r="G26" s="90">
        <v>1</v>
      </c>
      <c r="H26" s="197">
        <v>1</v>
      </c>
      <c r="I26" s="93">
        <f t="shared" si="3"/>
        <v>285606600</v>
      </c>
      <c r="J26" s="93">
        <f t="shared" si="4"/>
        <v>5289011.111111111</v>
      </c>
      <c r="K26" s="3"/>
      <c r="L26" s="89"/>
      <c r="M26" s="89">
        <f>(J26/3)/3</f>
        <v>587667.90123456786</v>
      </c>
      <c r="N26" s="89">
        <f>M26</f>
        <v>587667.90123456786</v>
      </c>
      <c r="O26" s="89">
        <f>M26</f>
        <v>587667.90123456786</v>
      </c>
      <c r="P26" s="137">
        <f t="shared" si="5"/>
        <v>1763003.7037037036</v>
      </c>
      <c r="Q26" s="181">
        <f>J26/3</f>
        <v>1763003.7037037036</v>
      </c>
      <c r="R26" s="181">
        <f>J26/3</f>
        <v>1763003.7037037036</v>
      </c>
      <c r="S26" s="77">
        <f t="shared" si="6"/>
        <v>5289011.111111111</v>
      </c>
    </row>
    <row r="27" spans="2:19" ht="28.8" x14ac:dyDescent="0.3">
      <c r="B27" s="663" t="s">
        <v>270</v>
      </c>
      <c r="C27" s="198" t="s">
        <v>569</v>
      </c>
      <c r="D27" s="91"/>
      <c r="E27" s="91">
        <v>1</v>
      </c>
      <c r="F27" s="144">
        <v>1500000</v>
      </c>
      <c r="G27" s="91">
        <v>1</v>
      </c>
      <c r="H27" s="91">
        <v>1</v>
      </c>
      <c r="I27" s="145">
        <f t="shared" si="3"/>
        <v>1500000</v>
      </c>
      <c r="J27" s="145">
        <f t="shared" si="4"/>
        <v>27777.777777777777</v>
      </c>
      <c r="K27" s="79"/>
      <c r="L27" s="147"/>
      <c r="M27" s="147"/>
      <c r="N27" s="147"/>
      <c r="O27" s="147"/>
      <c r="P27" s="137">
        <f t="shared" si="5"/>
        <v>0</v>
      </c>
      <c r="Q27" s="137">
        <f>J27</f>
        <v>27777.777777777777</v>
      </c>
      <c r="R27" s="137"/>
      <c r="S27" s="77">
        <f t="shared" si="6"/>
        <v>27777.777777777777</v>
      </c>
    </row>
    <row r="28" spans="2:19" x14ac:dyDescent="0.3">
      <c r="B28" s="195"/>
      <c r="C28" s="196" t="s">
        <v>271</v>
      </c>
      <c r="D28" s="90"/>
      <c r="E28" s="91">
        <v>1</v>
      </c>
      <c r="F28" s="92">
        <f>I136</f>
        <v>242750</v>
      </c>
      <c r="G28" s="90">
        <v>1</v>
      </c>
      <c r="H28" s="90">
        <v>1</v>
      </c>
      <c r="I28" s="93">
        <f t="shared" si="3"/>
        <v>242750</v>
      </c>
      <c r="J28" s="93">
        <f t="shared" si="4"/>
        <v>4495.3703703703704</v>
      </c>
      <c r="K28" s="3"/>
      <c r="L28" s="89"/>
      <c r="M28" s="89"/>
      <c r="N28" s="89"/>
      <c r="O28" s="89"/>
      <c r="P28" s="137"/>
      <c r="Q28" s="137">
        <f>J28*6</f>
        <v>26972.222222222223</v>
      </c>
      <c r="R28" s="137"/>
      <c r="S28" s="77">
        <f>P28+Q28+R28</f>
        <v>26972.222222222223</v>
      </c>
    </row>
    <row r="29" spans="2:19" ht="28.8" x14ac:dyDescent="0.3">
      <c r="B29" s="195" t="s">
        <v>272</v>
      </c>
      <c r="C29" s="196" t="s">
        <v>570</v>
      </c>
      <c r="D29" s="90"/>
      <c r="E29" s="91">
        <v>1</v>
      </c>
      <c r="F29" s="92">
        <v>10000</v>
      </c>
      <c r="G29" s="90">
        <v>1</v>
      </c>
      <c r="H29" s="90">
        <v>1</v>
      </c>
      <c r="I29" s="93">
        <f t="shared" si="3"/>
        <v>10000</v>
      </c>
      <c r="J29" s="93">
        <f t="shared" si="4"/>
        <v>185.18518518518519</v>
      </c>
      <c r="K29" s="3"/>
      <c r="L29" s="89"/>
      <c r="M29" s="89"/>
      <c r="N29" s="89"/>
      <c r="O29" s="89">
        <f>J29*48</f>
        <v>8888.8888888888887</v>
      </c>
      <c r="P29" s="137">
        <f>L29+M29+N29+O29</f>
        <v>8888.8888888888887</v>
      </c>
      <c r="Q29" s="137">
        <f>J29*48*4</f>
        <v>35555.555555555555</v>
      </c>
      <c r="R29" s="137">
        <f>J29*48*4</f>
        <v>35555.555555555555</v>
      </c>
      <c r="S29" s="77">
        <f>P29+Q29+R29</f>
        <v>80000</v>
      </c>
    </row>
    <row r="30" spans="2:19" ht="43.2" x14ac:dyDescent="0.3">
      <c r="B30" s="195" t="s">
        <v>273</v>
      </c>
      <c r="C30" s="196" t="s">
        <v>571</v>
      </c>
      <c r="D30" s="90"/>
      <c r="E30" s="91">
        <v>1</v>
      </c>
      <c r="F30" s="92">
        <v>4000000</v>
      </c>
      <c r="G30" s="90">
        <v>1</v>
      </c>
      <c r="H30" s="90">
        <v>1</v>
      </c>
      <c r="I30" s="93">
        <f>F30*G30*H30</f>
        <v>4000000</v>
      </c>
      <c r="J30" s="93">
        <f t="shared" si="4"/>
        <v>74074.074074074073</v>
      </c>
      <c r="K30" s="3"/>
      <c r="L30" s="89"/>
      <c r="M30" s="89"/>
      <c r="N30" s="89"/>
      <c r="O30" s="89">
        <f>J30</f>
        <v>74074.074074074073</v>
      </c>
      <c r="P30" s="137">
        <f>L30+M30+N30+O30</f>
        <v>74074.074074074073</v>
      </c>
      <c r="Q30" s="137"/>
      <c r="R30" s="137"/>
      <c r="S30" s="77">
        <f t="shared" si="6"/>
        <v>74074.074074074073</v>
      </c>
    </row>
    <row r="31" spans="2:19" s="97" customFormat="1" x14ac:dyDescent="0.3">
      <c r="B31" s="98"/>
      <c r="C31" s="98" t="s">
        <v>56</v>
      </c>
      <c r="D31" s="98"/>
      <c r="E31" s="98"/>
      <c r="F31" s="98"/>
      <c r="G31" s="98"/>
      <c r="H31" s="98"/>
      <c r="I31" s="99"/>
      <c r="J31" s="99"/>
      <c r="K31" s="98"/>
      <c r="L31" s="100">
        <f>L22+L23+L24+L25+L26+L27+L28+L29+L30</f>
        <v>0</v>
      </c>
      <c r="M31" s="100">
        <f t="shared" ref="M31:S31" si="7">M22+M23+M24+M25+M26+M27+M30</f>
        <v>587667.90123456786</v>
      </c>
      <c r="N31" s="100">
        <f t="shared" si="7"/>
        <v>684755.86419753078</v>
      </c>
      <c r="O31" s="100">
        <f t="shared" si="7"/>
        <v>676556.79012345674</v>
      </c>
      <c r="P31" s="100">
        <f t="shared" si="7"/>
        <v>1948980.5555555555</v>
      </c>
      <c r="Q31" s="100">
        <f t="shared" si="7"/>
        <v>1902684.2592592591</v>
      </c>
      <c r="R31" s="100">
        <f t="shared" si="7"/>
        <v>1763003.7037037036</v>
      </c>
      <c r="S31" s="100">
        <f t="shared" si="7"/>
        <v>5614668.5185185187</v>
      </c>
    </row>
    <row r="33" spans="1:10" x14ac:dyDescent="0.3">
      <c r="B33" s="783" t="s">
        <v>61</v>
      </c>
      <c r="C33" s="783"/>
      <c r="D33" s="783"/>
      <c r="E33" s="783"/>
      <c r="F33" s="783"/>
      <c r="G33" s="783"/>
      <c r="H33" s="783"/>
      <c r="I33" s="783"/>
      <c r="J33" s="783"/>
    </row>
    <row r="35" spans="1:10" x14ac:dyDescent="0.3">
      <c r="A35" s="772" t="s">
        <v>274</v>
      </c>
      <c r="B35" s="773"/>
      <c r="C35" s="773"/>
      <c r="D35" s="773"/>
      <c r="E35" s="773"/>
      <c r="F35" s="773"/>
      <c r="G35" s="773"/>
      <c r="H35" s="773"/>
      <c r="I35" s="773"/>
      <c r="J35" s="773"/>
    </row>
    <row r="36" spans="1:10" x14ac:dyDescent="0.3">
      <c r="A36" s="26"/>
      <c r="B36" s="26"/>
      <c r="C36" s="26" t="s">
        <v>4</v>
      </c>
      <c r="D36" s="26" t="s">
        <v>79</v>
      </c>
      <c r="E36" s="26" t="s">
        <v>80</v>
      </c>
      <c r="F36" s="26" t="s">
        <v>50</v>
      </c>
      <c r="G36" s="26" t="s">
        <v>57</v>
      </c>
      <c r="H36" s="27" t="s">
        <v>53</v>
      </c>
      <c r="I36" s="28" t="s">
        <v>65</v>
      </c>
      <c r="J36" s="28" t="s">
        <v>81</v>
      </c>
    </row>
    <row r="37" spans="1:10" x14ac:dyDescent="0.3">
      <c r="A37" s="774" t="s">
        <v>169</v>
      </c>
      <c r="B37" s="775"/>
      <c r="C37" s="775"/>
      <c r="D37" s="776"/>
      <c r="E37" s="107"/>
      <c r="F37" s="107"/>
      <c r="G37" s="107"/>
      <c r="H37" s="108"/>
      <c r="I37" s="107"/>
      <c r="J37" s="107"/>
    </row>
    <row r="38" spans="1:10" x14ac:dyDescent="0.3">
      <c r="A38" s="3">
        <v>1</v>
      </c>
      <c r="B38" s="3" t="s">
        <v>170</v>
      </c>
      <c r="C38" s="3"/>
      <c r="D38" s="3"/>
      <c r="E38" s="3"/>
      <c r="F38" s="3"/>
      <c r="G38" s="3"/>
      <c r="H38" s="16"/>
      <c r="I38" s="3"/>
      <c r="J38" s="3"/>
    </row>
    <row r="39" spans="1:10" x14ac:dyDescent="0.3">
      <c r="A39" s="3"/>
      <c r="B39" s="3" t="s">
        <v>84</v>
      </c>
      <c r="C39" s="3"/>
      <c r="D39" s="3" t="s">
        <v>85</v>
      </c>
      <c r="E39" s="3">
        <v>3</v>
      </c>
      <c r="F39" s="111">
        <v>15000</v>
      </c>
      <c r="G39" s="3">
        <v>4</v>
      </c>
      <c r="H39" s="16">
        <v>1</v>
      </c>
      <c r="I39" s="24">
        <f>E39*F39*G39*H39</f>
        <v>180000</v>
      </c>
      <c r="J39" s="112">
        <f>I39/54</f>
        <v>3333.3333333333335</v>
      </c>
    </row>
    <row r="40" spans="1:10" x14ac:dyDescent="0.3">
      <c r="A40" s="3"/>
      <c r="B40" s="3" t="s">
        <v>86</v>
      </c>
      <c r="C40" s="3" t="s">
        <v>87</v>
      </c>
      <c r="D40" s="3"/>
      <c r="E40" s="3"/>
      <c r="F40" s="111"/>
      <c r="G40" s="3"/>
      <c r="H40" s="16"/>
      <c r="I40" s="3"/>
      <c r="J40" s="112">
        <f t="shared" ref="J40:J44" si="8">I40/54</f>
        <v>0</v>
      </c>
    </row>
    <row r="41" spans="1:10" x14ac:dyDescent="0.3">
      <c r="A41" s="3"/>
      <c r="B41" s="3"/>
      <c r="C41" s="3" t="s">
        <v>88</v>
      </c>
      <c r="D41" s="3"/>
      <c r="E41" s="79">
        <v>3</v>
      </c>
      <c r="F41" s="111">
        <v>20000</v>
      </c>
      <c r="G41" s="3">
        <v>1</v>
      </c>
      <c r="H41" s="16">
        <v>1</v>
      </c>
      <c r="I41" s="24">
        <f>E41*F41*G41*H41</f>
        <v>60000</v>
      </c>
      <c r="J41" s="112">
        <f t="shared" si="8"/>
        <v>1111.1111111111111</v>
      </c>
    </row>
    <row r="42" spans="1:10" x14ac:dyDescent="0.3">
      <c r="A42" s="3"/>
      <c r="B42" s="3"/>
      <c r="C42" s="3" t="s">
        <v>89</v>
      </c>
      <c r="D42" s="3"/>
      <c r="E42" s="79">
        <v>3</v>
      </c>
      <c r="F42" s="111">
        <v>2500</v>
      </c>
      <c r="G42" s="3">
        <v>4</v>
      </c>
      <c r="H42" s="16">
        <v>1</v>
      </c>
      <c r="I42" s="24">
        <f>E42*F42*G42*H42</f>
        <v>30000</v>
      </c>
      <c r="J42" s="112">
        <f t="shared" si="8"/>
        <v>555.55555555555554</v>
      </c>
    </row>
    <row r="43" spans="1:10" x14ac:dyDescent="0.3">
      <c r="A43" s="3"/>
      <c r="B43" s="3"/>
      <c r="C43" s="3" t="s">
        <v>90</v>
      </c>
      <c r="D43" s="3"/>
      <c r="E43" s="79">
        <v>3</v>
      </c>
      <c r="F43" s="111">
        <v>10000</v>
      </c>
      <c r="G43" s="3">
        <v>4</v>
      </c>
      <c r="H43" s="16">
        <v>1</v>
      </c>
      <c r="I43" s="24">
        <f>E43*F43*G43*H43</f>
        <v>120000</v>
      </c>
      <c r="J43" s="112">
        <f t="shared" si="8"/>
        <v>2222.2222222222222</v>
      </c>
    </row>
    <row r="44" spans="1:10" x14ac:dyDescent="0.3">
      <c r="A44" s="3"/>
      <c r="B44" s="3"/>
      <c r="C44" s="3"/>
      <c r="D44" s="82" t="s">
        <v>10</v>
      </c>
      <c r="E44" s="82"/>
      <c r="F44" s="122"/>
      <c r="G44" s="82"/>
      <c r="H44" s="123"/>
      <c r="I44" s="121">
        <f>SUM(I39:I43)</f>
        <v>390000</v>
      </c>
      <c r="J44" s="121">
        <f t="shared" si="8"/>
        <v>7222.2222222222226</v>
      </c>
    </row>
    <row r="45" spans="1:10" x14ac:dyDescent="0.3">
      <c r="A45" s="96"/>
      <c r="B45" s="96"/>
      <c r="C45" s="96"/>
      <c r="D45" s="96"/>
      <c r="E45" s="96"/>
      <c r="F45" s="124"/>
      <c r="G45" s="96"/>
      <c r="H45" s="125"/>
      <c r="I45" s="126"/>
      <c r="J45" s="96"/>
    </row>
    <row r="46" spans="1:10" x14ac:dyDescent="0.3">
      <c r="A46" s="769" t="s">
        <v>91</v>
      </c>
      <c r="B46" s="770"/>
      <c r="C46" s="770"/>
      <c r="D46" s="771"/>
      <c r="E46" s="127"/>
      <c r="F46" s="128"/>
      <c r="G46" s="127"/>
      <c r="H46" s="129"/>
      <c r="I46" s="127"/>
      <c r="J46" s="127"/>
    </row>
    <row r="47" spans="1:10" x14ac:dyDescent="0.3">
      <c r="A47" s="3"/>
      <c r="B47" s="3" t="s">
        <v>92</v>
      </c>
      <c r="C47" s="3" t="s">
        <v>93</v>
      </c>
      <c r="D47" s="3"/>
      <c r="E47" s="3">
        <v>40</v>
      </c>
      <c r="F47" s="111">
        <v>2000</v>
      </c>
      <c r="G47" s="3">
        <v>3</v>
      </c>
      <c r="H47" s="16">
        <v>1</v>
      </c>
      <c r="I47" s="24">
        <f t="shared" ref="I47:I54" si="9">E47*F47*G47*H47</f>
        <v>240000</v>
      </c>
      <c r="J47" s="24">
        <f>I47/54</f>
        <v>4444.4444444444443</v>
      </c>
    </row>
    <row r="48" spans="1:10" x14ac:dyDescent="0.3">
      <c r="A48" s="3"/>
      <c r="B48" s="3" t="s">
        <v>86</v>
      </c>
      <c r="C48" s="3" t="s">
        <v>94</v>
      </c>
      <c r="D48" s="3"/>
      <c r="E48" s="3">
        <v>30</v>
      </c>
      <c r="F48" s="111">
        <v>20000</v>
      </c>
      <c r="G48" s="3">
        <v>1</v>
      </c>
      <c r="H48" s="16">
        <v>1</v>
      </c>
      <c r="I48" s="24">
        <f t="shared" si="9"/>
        <v>600000</v>
      </c>
      <c r="J48" s="24">
        <f t="shared" ref="J48:J54" si="10">I48/54</f>
        <v>11111.111111111111</v>
      </c>
    </row>
    <row r="49" spans="1:10" x14ac:dyDescent="0.3">
      <c r="A49" s="3"/>
      <c r="B49" s="3" t="s">
        <v>95</v>
      </c>
      <c r="C49" s="3" t="s">
        <v>96</v>
      </c>
      <c r="D49" s="3"/>
      <c r="E49" s="3">
        <v>30</v>
      </c>
      <c r="F49" s="111">
        <v>10000</v>
      </c>
      <c r="G49" s="3">
        <v>3</v>
      </c>
      <c r="H49" s="16">
        <v>1</v>
      </c>
      <c r="I49" s="24">
        <f t="shared" si="9"/>
        <v>900000</v>
      </c>
      <c r="J49" s="24">
        <f t="shared" si="10"/>
        <v>16666.666666666668</v>
      </c>
    </row>
    <row r="50" spans="1:10" x14ac:dyDescent="0.3">
      <c r="A50" s="3"/>
      <c r="B50" s="3" t="s">
        <v>97</v>
      </c>
      <c r="C50" s="3" t="s">
        <v>171</v>
      </c>
      <c r="D50" s="3" t="s">
        <v>172</v>
      </c>
      <c r="E50" s="3">
        <v>40</v>
      </c>
      <c r="F50" s="111">
        <v>2500</v>
      </c>
      <c r="G50" s="3">
        <v>3</v>
      </c>
      <c r="H50" s="16">
        <v>1</v>
      </c>
      <c r="I50" s="24">
        <f t="shared" si="9"/>
        <v>300000</v>
      </c>
      <c r="J50" s="24">
        <f t="shared" si="10"/>
        <v>5555.5555555555557</v>
      </c>
    </row>
    <row r="51" spans="1:10" x14ac:dyDescent="0.3">
      <c r="A51" s="3"/>
      <c r="B51" s="3" t="s">
        <v>99</v>
      </c>
      <c r="C51" s="3" t="s">
        <v>100</v>
      </c>
      <c r="D51" s="3"/>
      <c r="E51" s="3">
        <v>1</v>
      </c>
      <c r="F51" s="111">
        <v>45000</v>
      </c>
      <c r="G51" s="3">
        <v>3</v>
      </c>
      <c r="H51" s="16">
        <v>1</v>
      </c>
      <c r="I51" s="24">
        <f t="shared" si="9"/>
        <v>135000</v>
      </c>
      <c r="J51" s="24">
        <f t="shared" si="10"/>
        <v>2500</v>
      </c>
    </row>
    <row r="52" spans="1:10" x14ac:dyDescent="0.3">
      <c r="A52" s="3"/>
      <c r="B52" s="3" t="s">
        <v>101</v>
      </c>
      <c r="C52" s="3" t="s">
        <v>102</v>
      </c>
      <c r="D52" s="3"/>
      <c r="E52" s="3">
        <v>1</v>
      </c>
      <c r="F52" s="111">
        <v>25000</v>
      </c>
      <c r="G52" s="3">
        <v>3</v>
      </c>
      <c r="H52" s="16">
        <v>1</v>
      </c>
      <c r="I52" s="24">
        <f t="shared" si="9"/>
        <v>75000</v>
      </c>
      <c r="J52" s="24">
        <f t="shared" si="10"/>
        <v>1388.8888888888889</v>
      </c>
    </row>
    <row r="53" spans="1:10" x14ac:dyDescent="0.3">
      <c r="A53" s="3"/>
      <c r="B53" s="3" t="s">
        <v>103</v>
      </c>
      <c r="C53" s="3" t="s">
        <v>104</v>
      </c>
      <c r="D53" s="3" t="s">
        <v>105</v>
      </c>
      <c r="E53" s="3">
        <v>1</v>
      </c>
      <c r="F53" s="111">
        <v>25000</v>
      </c>
      <c r="G53" s="3">
        <v>3</v>
      </c>
      <c r="H53" s="16">
        <v>1</v>
      </c>
      <c r="I53" s="24">
        <f t="shared" si="9"/>
        <v>75000</v>
      </c>
      <c r="J53" s="24">
        <f t="shared" si="10"/>
        <v>1388.8888888888889</v>
      </c>
    </row>
    <row r="54" spans="1:10" x14ac:dyDescent="0.3">
      <c r="A54" s="3"/>
      <c r="B54" s="3" t="s">
        <v>106</v>
      </c>
      <c r="C54" s="3" t="s">
        <v>107</v>
      </c>
      <c r="D54" s="3"/>
      <c r="E54" s="3">
        <v>40</v>
      </c>
      <c r="F54" s="111">
        <v>500</v>
      </c>
      <c r="G54" s="3">
        <v>3</v>
      </c>
      <c r="H54" s="16">
        <v>1</v>
      </c>
      <c r="I54" s="24">
        <f t="shared" si="9"/>
        <v>60000</v>
      </c>
      <c r="J54" s="24">
        <f t="shared" si="10"/>
        <v>1111.1111111111111</v>
      </c>
    </row>
    <row r="55" spans="1:10" x14ac:dyDescent="0.3">
      <c r="A55" s="3"/>
      <c r="B55" s="3"/>
      <c r="C55" s="3"/>
      <c r="D55" s="82" t="s">
        <v>10</v>
      </c>
      <c r="E55" s="82"/>
      <c r="F55" s="122"/>
      <c r="G55" s="82"/>
      <c r="H55" s="123"/>
      <c r="I55" s="121">
        <f>SUM(I47:I54)</f>
        <v>2385000</v>
      </c>
      <c r="J55" s="121">
        <f>SUM(J47:J54)</f>
        <v>44166.666666666672</v>
      </c>
    </row>
    <row r="56" spans="1:10" x14ac:dyDescent="0.3">
      <c r="A56" s="3"/>
      <c r="B56" s="3"/>
      <c r="C56" s="3"/>
      <c r="D56" s="3"/>
      <c r="E56" s="3"/>
      <c r="F56" s="3"/>
      <c r="G56" s="3"/>
      <c r="H56" s="16"/>
      <c r="I56" s="3"/>
      <c r="J56" s="3"/>
    </row>
    <row r="57" spans="1:10" x14ac:dyDescent="0.3">
      <c r="A57" s="3"/>
      <c r="B57" s="3"/>
      <c r="C57" s="3"/>
      <c r="D57" s="83" t="s">
        <v>19</v>
      </c>
      <c r="E57" s="83"/>
      <c r="F57" s="83"/>
      <c r="G57" s="83"/>
      <c r="H57" s="131"/>
      <c r="I57" s="132">
        <f>I44+I55</f>
        <v>2775000</v>
      </c>
      <c r="J57" s="132">
        <f>J44+J55</f>
        <v>51388.888888888891</v>
      </c>
    </row>
    <row r="60" spans="1:10" x14ac:dyDescent="0.3">
      <c r="A60" s="772" t="s">
        <v>572</v>
      </c>
      <c r="B60" s="773"/>
      <c r="C60" s="773"/>
      <c r="D60" s="773"/>
      <c r="E60" s="773"/>
      <c r="F60" s="773"/>
      <c r="G60" s="773"/>
      <c r="H60" s="773"/>
      <c r="I60" s="773"/>
      <c r="J60" s="773"/>
    </row>
    <row r="61" spans="1:10" x14ac:dyDescent="0.3">
      <c r="A61" s="26"/>
      <c r="B61" s="26"/>
      <c r="C61" s="26" t="s">
        <v>4</v>
      </c>
      <c r="D61" s="26" t="s">
        <v>79</v>
      </c>
      <c r="E61" s="26" t="s">
        <v>80</v>
      </c>
      <c r="F61" s="26" t="s">
        <v>50</v>
      </c>
      <c r="G61" s="26" t="s">
        <v>57</v>
      </c>
      <c r="H61" s="27" t="s">
        <v>53</v>
      </c>
      <c r="I61" s="28" t="s">
        <v>65</v>
      </c>
      <c r="J61" s="28" t="s">
        <v>81</v>
      </c>
    </row>
    <row r="62" spans="1:10" x14ac:dyDescent="0.3">
      <c r="A62" s="774"/>
      <c r="B62" s="775"/>
      <c r="C62" s="775"/>
      <c r="D62" s="776"/>
      <c r="E62" s="107"/>
      <c r="F62" s="107"/>
      <c r="G62" s="107"/>
      <c r="H62" s="108"/>
      <c r="I62" s="107"/>
      <c r="J62" s="107"/>
    </row>
    <row r="63" spans="1:10" x14ac:dyDescent="0.3">
      <c r="A63" s="3">
        <v>1</v>
      </c>
      <c r="B63" s="3" t="s">
        <v>108</v>
      </c>
      <c r="C63" s="3"/>
      <c r="D63" s="3"/>
      <c r="E63" s="3"/>
      <c r="F63" s="3"/>
      <c r="G63" s="3"/>
      <c r="H63" s="16"/>
      <c r="I63" s="3"/>
      <c r="J63" s="3"/>
    </row>
    <row r="64" spans="1:10" x14ac:dyDescent="0.3">
      <c r="A64" s="3"/>
      <c r="B64" s="3" t="s">
        <v>84</v>
      </c>
      <c r="C64" s="3"/>
      <c r="D64" s="3" t="s">
        <v>85</v>
      </c>
      <c r="E64" s="3">
        <v>2</v>
      </c>
      <c r="F64" s="111">
        <v>15000</v>
      </c>
      <c r="G64" s="3">
        <v>4</v>
      </c>
      <c r="H64" s="16">
        <v>1</v>
      </c>
      <c r="I64" s="24">
        <f>E64*F64*G64*H64</f>
        <v>120000</v>
      </c>
      <c r="J64" s="112">
        <f>I64/54</f>
        <v>2222.2222222222222</v>
      </c>
    </row>
    <row r="65" spans="1:10" x14ac:dyDescent="0.3">
      <c r="A65" s="3"/>
      <c r="B65" s="3" t="s">
        <v>86</v>
      </c>
      <c r="C65" s="3" t="s">
        <v>87</v>
      </c>
      <c r="D65" s="3"/>
      <c r="E65" s="3"/>
      <c r="F65" s="111"/>
      <c r="G65" s="3"/>
      <c r="H65" s="16"/>
      <c r="I65" s="3"/>
      <c r="J65" s="112">
        <f t="shared" ref="J65:J68" si="11">I65/54</f>
        <v>0</v>
      </c>
    </row>
    <row r="66" spans="1:10" x14ac:dyDescent="0.3">
      <c r="A66" s="3"/>
      <c r="B66" s="3"/>
      <c r="C66" s="3" t="s">
        <v>88</v>
      </c>
      <c r="D66" s="3"/>
      <c r="E66" s="79">
        <v>2</v>
      </c>
      <c r="F66" s="111">
        <v>20000</v>
      </c>
      <c r="G66" s="3">
        <v>1</v>
      </c>
      <c r="H66" s="16">
        <v>1</v>
      </c>
      <c r="I66" s="24">
        <f>E66*F66*G66*H66</f>
        <v>40000</v>
      </c>
      <c r="J66" s="112">
        <f t="shared" si="11"/>
        <v>740.74074074074076</v>
      </c>
    </row>
    <row r="67" spans="1:10" x14ac:dyDescent="0.3">
      <c r="A67" s="3"/>
      <c r="B67" s="3"/>
      <c r="C67" s="3" t="s">
        <v>89</v>
      </c>
      <c r="D67" s="3"/>
      <c r="E67" s="79">
        <v>2</v>
      </c>
      <c r="F67" s="111">
        <v>2500</v>
      </c>
      <c r="G67" s="3">
        <v>4</v>
      </c>
      <c r="H67" s="16">
        <v>1</v>
      </c>
      <c r="I67" s="24">
        <f>E67*F67*G67*H67</f>
        <v>20000</v>
      </c>
      <c r="J67" s="112">
        <f t="shared" si="11"/>
        <v>370.37037037037038</v>
      </c>
    </row>
    <row r="68" spans="1:10" x14ac:dyDescent="0.3">
      <c r="A68" s="3"/>
      <c r="B68" s="3"/>
      <c r="C68" s="3" t="s">
        <v>90</v>
      </c>
      <c r="D68" s="3"/>
      <c r="E68" s="79">
        <v>2</v>
      </c>
      <c r="F68" s="111">
        <v>10000</v>
      </c>
      <c r="G68" s="3">
        <v>4</v>
      </c>
      <c r="H68" s="16">
        <v>1</v>
      </c>
      <c r="I68" s="24">
        <f>E68*F68*G68*H68</f>
        <v>80000</v>
      </c>
      <c r="J68" s="112">
        <f t="shared" si="11"/>
        <v>1481.4814814814815</v>
      </c>
    </row>
    <row r="69" spans="1:10" x14ac:dyDescent="0.3">
      <c r="A69" s="3"/>
      <c r="B69" s="3"/>
      <c r="C69" s="3"/>
      <c r="D69" s="82" t="s">
        <v>10</v>
      </c>
      <c r="E69" s="82"/>
      <c r="F69" s="122"/>
      <c r="G69" s="82"/>
      <c r="H69" s="123"/>
      <c r="I69" s="121">
        <f>SUM(I64:I68)</f>
        <v>260000</v>
      </c>
      <c r="J69" s="121">
        <f>SUM(J64:J68)</f>
        <v>4814.8148148148148</v>
      </c>
    </row>
    <row r="70" spans="1:10" x14ac:dyDescent="0.3">
      <c r="A70" s="96"/>
      <c r="B70" s="96"/>
      <c r="C70" s="96"/>
      <c r="D70" s="96"/>
      <c r="E70" s="96"/>
      <c r="F70" s="124"/>
      <c r="G70" s="96"/>
      <c r="H70" s="125"/>
      <c r="I70" s="126"/>
      <c r="J70" s="96"/>
    </row>
    <row r="71" spans="1:10" x14ac:dyDescent="0.3">
      <c r="A71" s="769" t="s">
        <v>91</v>
      </c>
      <c r="B71" s="770"/>
      <c r="C71" s="770"/>
      <c r="D71" s="771"/>
      <c r="E71" s="127"/>
      <c r="F71" s="128"/>
      <c r="G71" s="127"/>
      <c r="H71" s="129"/>
      <c r="I71" s="127"/>
      <c r="J71" s="127"/>
    </row>
    <row r="72" spans="1:10" x14ac:dyDescent="0.3">
      <c r="A72" s="3"/>
      <c r="B72" s="3" t="s">
        <v>92</v>
      </c>
      <c r="C72" s="3" t="s">
        <v>93</v>
      </c>
      <c r="D72" s="3"/>
      <c r="E72" s="3">
        <v>40</v>
      </c>
      <c r="F72" s="111">
        <v>1000</v>
      </c>
      <c r="G72" s="3">
        <v>3</v>
      </c>
      <c r="H72" s="16">
        <v>1</v>
      </c>
      <c r="I72" s="24">
        <f t="shared" ref="I72:I79" si="12">E72*F72*G72*H72</f>
        <v>120000</v>
      </c>
      <c r="J72" s="133">
        <f>I72/54</f>
        <v>2222.2222222222222</v>
      </c>
    </row>
    <row r="73" spans="1:10" x14ac:dyDescent="0.3">
      <c r="A73" s="3"/>
      <c r="B73" s="3" t="s">
        <v>86</v>
      </c>
      <c r="C73" s="3" t="s">
        <v>94</v>
      </c>
      <c r="D73" s="3" t="s">
        <v>110</v>
      </c>
      <c r="E73" s="3">
        <v>30</v>
      </c>
      <c r="F73" s="111">
        <v>5000</v>
      </c>
      <c r="G73" s="3">
        <v>1</v>
      </c>
      <c r="H73" s="16">
        <v>1</v>
      </c>
      <c r="I73" s="24">
        <f t="shared" si="12"/>
        <v>150000</v>
      </c>
      <c r="J73" s="133">
        <f t="shared" ref="J73:J80" si="13">I73/54</f>
        <v>2777.7777777777778</v>
      </c>
    </row>
    <row r="74" spans="1:10" x14ac:dyDescent="0.3">
      <c r="A74" s="3"/>
      <c r="B74" s="3" t="s">
        <v>95</v>
      </c>
      <c r="C74" s="3" t="s">
        <v>96</v>
      </c>
      <c r="D74" s="3" t="s">
        <v>110</v>
      </c>
      <c r="E74" s="3">
        <v>30</v>
      </c>
      <c r="F74" s="111">
        <v>10000</v>
      </c>
      <c r="G74" s="3">
        <v>3</v>
      </c>
      <c r="H74" s="16">
        <v>1</v>
      </c>
      <c r="I74" s="24">
        <f t="shared" si="12"/>
        <v>900000</v>
      </c>
      <c r="J74" s="133">
        <f t="shared" si="13"/>
        <v>16666.666666666668</v>
      </c>
    </row>
    <row r="75" spans="1:10" x14ac:dyDescent="0.3">
      <c r="A75" s="3"/>
      <c r="B75" s="3" t="s">
        <v>97</v>
      </c>
      <c r="C75" s="3" t="s">
        <v>171</v>
      </c>
      <c r="D75" s="3" t="s">
        <v>110</v>
      </c>
      <c r="E75" s="3">
        <v>40</v>
      </c>
      <c r="F75" s="111">
        <v>1500</v>
      </c>
      <c r="G75" s="3">
        <v>3</v>
      </c>
      <c r="H75" s="16">
        <v>1</v>
      </c>
      <c r="I75" s="24">
        <f t="shared" si="12"/>
        <v>180000</v>
      </c>
      <c r="J75" s="133">
        <f t="shared" si="13"/>
        <v>3333.3333333333335</v>
      </c>
    </row>
    <row r="76" spans="1:10" x14ac:dyDescent="0.3">
      <c r="A76" s="3"/>
      <c r="B76" s="3" t="s">
        <v>99</v>
      </c>
      <c r="C76" s="3" t="s">
        <v>100</v>
      </c>
      <c r="D76" s="3" t="s">
        <v>112</v>
      </c>
      <c r="E76" s="3">
        <v>1</v>
      </c>
      <c r="F76" s="111">
        <v>10000</v>
      </c>
      <c r="G76" s="3">
        <v>3</v>
      </c>
      <c r="H76" s="16">
        <v>1</v>
      </c>
      <c r="I76" s="24">
        <f t="shared" si="12"/>
        <v>30000</v>
      </c>
      <c r="J76" s="133">
        <f t="shared" si="13"/>
        <v>555.55555555555554</v>
      </c>
    </row>
    <row r="77" spans="1:10" x14ac:dyDescent="0.3">
      <c r="A77" s="3"/>
      <c r="B77" s="3" t="s">
        <v>101</v>
      </c>
      <c r="C77" s="3" t="s">
        <v>102</v>
      </c>
      <c r="D77" s="3"/>
      <c r="E77" s="3">
        <v>1</v>
      </c>
      <c r="F77" s="111">
        <v>25000</v>
      </c>
      <c r="G77" s="3">
        <v>3</v>
      </c>
      <c r="H77" s="16">
        <v>1</v>
      </c>
      <c r="I77" s="24">
        <f t="shared" si="12"/>
        <v>75000</v>
      </c>
      <c r="J77" s="133">
        <f t="shared" si="13"/>
        <v>1388.8888888888889</v>
      </c>
    </row>
    <row r="78" spans="1:10" x14ac:dyDescent="0.3">
      <c r="A78" s="3"/>
      <c r="B78" s="3" t="s">
        <v>103</v>
      </c>
      <c r="C78" s="3" t="s">
        <v>104</v>
      </c>
      <c r="D78" s="3" t="s">
        <v>105</v>
      </c>
      <c r="E78" s="3">
        <v>1</v>
      </c>
      <c r="F78" s="111">
        <v>25000</v>
      </c>
      <c r="G78" s="3">
        <v>3</v>
      </c>
      <c r="H78" s="16">
        <v>1</v>
      </c>
      <c r="I78" s="24">
        <f t="shared" si="12"/>
        <v>75000</v>
      </c>
      <c r="J78" s="133">
        <f t="shared" si="13"/>
        <v>1388.8888888888889</v>
      </c>
    </row>
    <row r="79" spans="1:10" x14ac:dyDescent="0.3">
      <c r="A79" s="3"/>
      <c r="B79" s="3" t="s">
        <v>106</v>
      </c>
      <c r="C79" s="3" t="s">
        <v>107</v>
      </c>
      <c r="D79" s="3"/>
      <c r="E79" s="3">
        <v>40</v>
      </c>
      <c r="F79" s="111">
        <v>400</v>
      </c>
      <c r="G79" s="3">
        <v>3</v>
      </c>
      <c r="H79" s="16">
        <v>1</v>
      </c>
      <c r="I79" s="24">
        <f t="shared" si="12"/>
        <v>48000</v>
      </c>
      <c r="J79" s="133">
        <f t="shared" si="13"/>
        <v>888.88888888888891</v>
      </c>
    </row>
    <row r="80" spans="1:10" x14ac:dyDescent="0.3">
      <c r="A80" s="3"/>
      <c r="B80" s="3"/>
      <c r="C80" s="3"/>
      <c r="D80" s="82" t="s">
        <v>10</v>
      </c>
      <c r="E80" s="82"/>
      <c r="F80" s="122"/>
      <c r="G80" s="82"/>
      <c r="H80" s="123"/>
      <c r="I80" s="121">
        <f>SUM(I72:I79)</f>
        <v>1578000</v>
      </c>
      <c r="J80" s="121">
        <f t="shared" si="13"/>
        <v>29222.222222222223</v>
      </c>
    </row>
    <row r="81" spans="1:10" x14ac:dyDescent="0.3">
      <c r="A81" s="3"/>
      <c r="B81" s="3"/>
      <c r="C81" s="3"/>
      <c r="D81" s="3"/>
      <c r="E81" s="3"/>
      <c r="F81" s="3"/>
      <c r="G81" s="3"/>
      <c r="H81" s="16"/>
      <c r="I81" s="3"/>
      <c r="J81" s="3"/>
    </row>
    <row r="82" spans="1:10" x14ac:dyDescent="0.3">
      <c r="A82" s="3"/>
      <c r="B82" s="3"/>
      <c r="C82" s="3"/>
      <c r="D82" s="83" t="s">
        <v>19</v>
      </c>
      <c r="E82" s="83"/>
      <c r="F82" s="83"/>
      <c r="G82" s="83"/>
      <c r="H82" s="131"/>
      <c r="I82" s="132">
        <f>I69+I80</f>
        <v>1838000</v>
      </c>
      <c r="J82" s="132">
        <f>J69+J80</f>
        <v>34037.037037037036</v>
      </c>
    </row>
    <row r="84" spans="1:10" x14ac:dyDescent="0.3">
      <c r="A84" s="772" t="s">
        <v>573</v>
      </c>
      <c r="B84" s="773"/>
      <c r="C84" s="773"/>
      <c r="D84" s="773"/>
      <c r="E84" s="773"/>
      <c r="F84" s="773"/>
      <c r="G84" s="773"/>
      <c r="H84" s="773"/>
      <c r="I84" s="773"/>
      <c r="J84" s="773"/>
    </row>
    <row r="85" spans="1:10" x14ac:dyDescent="0.3">
      <c r="A85" s="26"/>
      <c r="B85" s="26"/>
      <c r="C85" s="26" t="s">
        <v>4</v>
      </c>
      <c r="D85" s="26" t="s">
        <v>79</v>
      </c>
      <c r="E85" s="26" t="s">
        <v>80</v>
      </c>
      <c r="F85" s="26" t="s">
        <v>50</v>
      </c>
      <c r="G85" s="26" t="s">
        <v>57</v>
      </c>
      <c r="H85" s="27" t="s">
        <v>53</v>
      </c>
      <c r="I85" s="28" t="s">
        <v>65</v>
      </c>
      <c r="J85" s="28" t="s">
        <v>81</v>
      </c>
    </row>
    <row r="86" spans="1:10" x14ac:dyDescent="0.3">
      <c r="A86" s="774" t="s">
        <v>82</v>
      </c>
      <c r="B86" s="775"/>
      <c r="C86" s="775"/>
      <c r="D86" s="776"/>
      <c r="E86" s="107"/>
      <c r="F86" s="107"/>
      <c r="G86" s="107"/>
      <c r="H86" s="108"/>
      <c r="I86" s="107"/>
      <c r="J86" s="107"/>
    </row>
    <row r="87" spans="1:10" x14ac:dyDescent="0.3">
      <c r="A87" s="3">
        <v>1</v>
      </c>
      <c r="B87" s="3" t="s">
        <v>108</v>
      </c>
      <c r="C87" s="3"/>
      <c r="D87" s="3"/>
      <c r="E87" s="3"/>
      <c r="F87" s="3"/>
      <c r="G87" s="3"/>
      <c r="H87" s="16"/>
      <c r="I87" s="3"/>
      <c r="J87" s="3"/>
    </row>
    <row r="88" spans="1:10" x14ac:dyDescent="0.3">
      <c r="A88" s="3"/>
      <c r="B88" s="3" t="s">
        <v>84</v>
      </c>
      <c r="C88" s="3"/>
      <c r="D88" s="3" t="s">
        <v>85</v>
      </c>
      <c r="E88" s="3">
        <v>4</v>
      </c>
      <c r="F88" s="111">
        <v>15000</v>
      </c>
      <c r="G88" s="3">
        <v>6</v>
      </c>
      <c r="H88" s="16">
        <v>1</v>
      </c>
      <c r="I88" s="24">
        <f>E88*F88*G88*H88</f>
        <v>360000</v>
      </c>
      <c r="J88" s="112">
        <f>I88/54</f>
        <v>6666.666666666667</v>
      </c>
    </row>
    <row r="89" spans="1:10" x14ac:dyDescent="0.3">
      <c r="A89" s="3"/>
      <c r="B89" s="3" t="s">
        <v>86</v>
      </c>
      <c r="C89" s="3" t="s">
        <v>87</v>
      </c>
      <c r="D89" s="3"/>
      <c r="E89" s="3"/>
      <c r="F89" s="111"/>
      <c r="G89" s="3"/>
      <c r="H89" s="16"/>
      <c r="I89" s="3"/>
      <c r="J89" s="112">
        <f t="shared" ref="J89:J93" si="14">I89/54</f>
        <v>0</v>
      </c>
    </row>
    <row r="90" spans="1:10" x14ac:dyDescent="0.3">
      <c r="A90" s="3"/>
      <c r="B90" s="3"/>
      <c r="C90" s="3" t="s">
        <v>88</v>
      </c>
      <c r="D90" s="3"/>
      <c r="E90" s="79">
        <v>4</v>
      </c>
      <c r="F90" s="111">
        <v>20000</v>
      </c>
      <c r="G90" s="3">
        <v>1</v>
      </c>
      <c r="H90" s="16">
        <v>1</v>
      </c>
      <c r="I90" s="24">
        <f>E90*F90*G90*H90</f>
        <v>80000</v>
      </c>
      <c r="J90" s="112">
        <f t="shared" si="14"/>
        <v>1481.4814814814815</v>
      </c>
    </row>
    <row r="91" spans="1:10" x14ac:dyDescent="0.3">
      <c r="A91" s="3"/>
      <c r="B91" s="3"/>
      <c r="C91" s="3" t="s">
        <v>89</v>
      </c>
      <c r="D91" s="3"/>
      <c r="E91" s="79">
        <v>4</v>
      </c>
      <c r="F91" s="111">
        <v>2500</v>
      </c>
      <c r="G91" s="3">
        <v>6</v>
      </c>
      <c r="H91" s="16">
        <v>1</v>
      </c>
      <c r="I91" s="24">
        <f>E91*F91*G91*H91</f>
        <v>60000</v>
      </c>
      <c r="J91" s="112">
        <f t="shared" si="14"/>
        <v>1111.1111111111111</v>
      </c>
    </row>
    <row r="92" spans="1:10" x14ac:dyDescent="0.3">
      <c r="A92" s="3"/>
      <c r="B92" s="3"/>
      <c r="C92" s="3" t="s">
        <v>90</v>
      </c>
      <c r="D92" s="3"/>
      <c r="E92" s="79">
        <v>4</v>
      </c>
      <c r="F92" s="111">
        <v>10000</v>
      </c>
      <c r="G92" s="3">
        <v>6</v>
      </c>
      <c r="H92" s="16">
        <v>1</v>
      </c>
      <c r="I92" s="24">
        <f>E92*F92*G92*H92</f>
        <v>240000</v>
      </c>
      <c r="J92" s="112">
        <f t="shared" si="14"/>
        <v>4444.4444444444443</v>
      </c>
    </row>
    <row r="93" spans="1:10" x14ac:dyDescent="0.3">
      <c r="A93" s="3"/>
      <c r="B93" s="3"/>
      <c r="C93" s="3"/>
      <c r="D93" s="82" t="s">
        <v>10</v>
      </c>
      <c r="E93" s="82"/>
      <c r="F93" s="122"/>
      <c r="G93" s="82"/>
      <c r="H93" s="123"/>
      <c r="I93" s="121">
        <f>SUM(I88:I92)</f>
        <v>740000</v>
      </c>
      <c r="J93" s="121">
        <f t="shared" si="14"/>
        <v>13703.703703703704</v>
      </c>
    </row>
    <row r="94" spans="1:10" x14ac:dyDescent="0.3">
      <c r="A94" s="96"/>
      <c r="B94" s="96"/>
      <c r="C94" s="96"/>
      <c r="D94" s="96"/>
      <c r="E94" s="96"/>
      <c r="F94" s="124"/>
      <c r="G94" s="96"/>
      <c r="H94" s="125"/>
      <c r="I94" s="126"/>
      <c r="J94" s="96"/>
    </row>
    <row r="95" spans="1:10" x14ac:dyDescent="0.3">
      <c r="A95" s="769" t="s">
        <v>91</v>
      </c>
      <c r="B95" s="770"/>
      <c r="C95" s="770"/>
      <c r="D95" s="771"/>
      <c r="E95" s="127"/>
      <c r="F95" s="128"/>
      <c r="G95" s="127"/>
      <c r="H95" s="129"/>
      <c r="I95" s="127"/>
      <c r="J95" s="127"/>
    </row>
    <row r="96" spans="1:10" x14ac:dyDescent="0.3">
      <c r="A96" s="3"/>
      <c r="B96" s="3" t="s">
        <v>92</v>
      </c>
      <c r="C96" s="3" t="s">
        <v>93</v>
      </c>
      <c r="D96" s="3"/>
      <c r="E96" s="3">
        <v>40</v>
      </c>
      <c r="F96" s="111">
        <v>2000</v>
      </c>
      <c r="G96" s="3">
        <v>5</v>
      </c>
      <c r="H96" s="16">
        <v>1</v>
      </c>
      <c r="I96" s="24">
        <f t="shared" ref="I96:I103" si="15">E96*F96*G96*H96</f>
        <v>400000</v>
      </c>
      <c r="J96" s="24">
        <f>I96/54</f>
        <v>7407.4074074074078</v>
      </c>
    </row>
    <row r="97" spans="1:10" x14ac:dyDescent="0.3">
      <c r="A97" s="3"/>
      <c r="B97" s="3" t="s">
        <v>86</v>
      </c>
      <c r="C97" s="3" t="s">
        <v>94</v>
      </c>
      <c r="D97" s="3" t="s">
        <v>110</v>
      </c>
      <c r="E97" s="3">
        <v>30</v>
      </c>
      <c r="F97" s="111">
        <v>20000</v>
      </c>
      <c r="G97" s="3">
        <v>1</v>
      </c>
      <c r="H97" s="16">
        <v>1</v>
      </c>
      <c r="I97" s="24">
        <f t="shared" si="15"/>
        <v>600000</v>
      </c>
      <c r="J97" s="24">
        <f t="shared" ref="J97:J104" si="16">I97/54</f>
        <v>11111.111111111111</v>
      </c>
    </row>
    <row r="98" spans="1:10" x14ac:dyDescent="0.3">
      <c r="A98" s="3"/>
      <c r="B98" s="3" t="s">
        <v>95</v>
      </c>
      <c r="C98" s="3" t="s">
        <v>96</v>
      </c>
      <c r="D98" s="3" t="s">
        <v>110</v>
      </c>
      <c r="E98" s="3">
        <v>30</v>
      </c>
      <c r="F98" s="111">
        <v>10000</v>
      </c>
      <c r="G98" s="3">
        <v>5</v>
      </c>
      <c r="H98" s="16">
        <v>1</v>
      </c>
      <c r="I98" s="24">
        <f t="shared" si="15"/>
        <v>1500000</v>
      </c>
      <c r="J98" s="24">
        <f t="shared" si="16"/>
        <v>27777.777777777777</v>
      </c>
    </row>
    <row r="99" spans="1:10" x14ac:dyDescent="0.3">
      <c r="A99" s="3"/>
      <c r="B99" s="3" t="s">
        <v>97</v>
      </c>
      <c r="C99" s="3" t="s">
        <v>171</v>
      </c>
      <c r="D99" s="3" t="s">
        <v>172</v>
      </c>
      <c r="E99" s="3">
        <v>40</v>
      </c>
      <c r="F99" s="111">
        <v>2500</v>
      </c>
      <c r="G99" s="3">
        <v>5</v>
      </c>
      <c r="H99" s="16">
        <v>1</v>
      </c>
      <c r="I99" s="24">
        <f t="shared" si="15"/>
        <v>500000</v>
      </c>
      <c r="J99" s="24">
        <f t="shared" si="16"/>
        <v>9259.2592592592591</v>
      </c>
    </row>
    <row r="100" spans="1:10" x14ac:dyDescent="0.3">
      <c r="A100" s="3"/>
      <c r="B100" s="3" t="s">
        <v>99</v>
      </c>
      <c r="C100" s="3" t="s">
        <v>100</v>
      </c>
      <c r="D100" s="3"/>
      <c r="E100" s="3">
        <v>1</v>
      </c>
      <c r="F100" s="111">
        <v>45000</v>
      </c>
      <c r="G100" s="3">
        <v>5</v>
      </c>
      <c r="H100" s="16">
        <v>1</v>
      </c>
      <c r="I100" s="24">
        <f t="shared" si="15"/>
        <v>225000</v>
      </c>
      <c r="J100" s="24">
        <f t="shared" si="16"/>
        <v>4166.666666666667</v>
      </c>
    </row>
    <row r="101" spans="1:10" x14ac:dyDescent="0.3">
      <c r="A101" s="3"/>
      <c r="B101" s="3" t="s">
        <v>101</v>
      </c>
      <c r="C101" s="3" t="s">
        <v>102</v>
      </c>
      <c r="D101" s="3"/>
      <c r="E101" s="3">
        <v>1</v>
      </c>
      <c r="F101" s="111">
        <v>25000</v>
      </c>
      <c r="G101" s="3">
        <v>5</v>
      </c>
      <c r="H101" s="16">
        <v>1</v>
      </c>
      <c r="I101" s="24">
        <f t="shared" si="15"/>
        <v>125000</v>
      </c>
      <c r="J101" s="24">
        <f t="shared" si="16"/>
        <v>2314.8148148148148</v>
      </c>
    </row>
    <row r="102" spans="1:10" x14ac:dyDescent="0.3">
      <c r="A102" s="3"/>
      <c r="B102" s="3" t="s">
        <v>103</v>
      </c>
      <c r="C102" s="3" t="s">
        <v>104</v>
      </c>
      <c r="D102" s="3" t="s">
        <v>105</v>
      </c>
      <c r="E102" s="3">
        <v>1</v>
      </c>
      <c r="F102" s="111">
        <v>25000</v>
      </c>
      <c r="G102" s="3">
        <v>5</v>
      </c>
      <c r="H102" s="16">
        <v>1</v>
      </c>
      <c r="I102" s="24">
        <f t="shared" si="15"/>
        <v>125000</v>
      </c>
      <c r="J102" s="24">
        <f t="shared" si="16"/>
        <v>2314.8148148148148</v>
      </c>
    </row>
    <row r="103" spans="1:10" x14ac:dyDescent="0.3">
      <c r="A103" s="3"/>
      <c r="B103" s="3" t="s">
        <v>106</v>
      </c>
      <c r="C103" s="3" t="s">
        <v>107</v>
      </c>
      <c r="D103" s="3"/>
      <c r="E103" s="3">
        <v>40</v>
      </c>
      <c r="F103" s="111">
        <v>500</v>
      </c>
      <c r="G103" s="3">
        <v>5</v>
      </c>
      <c r="H103" s="16">
        <v>1</v>
      </c>
      <c r="I103" s="24">
        <f t="shared" si="15"/>
        <v>100000</v>
      </c>
      <c r="J103" s="24">
        <f t="shared" si="16"/>
        <v>1851.851851851852</v>
      </c>
    </row>
    <row r="104" spans="1:10" x14ac:dyDescent="0.3">
      <c r="A104" s="3"/>
      <c r="B104" s="3"/>
      <c r="C104" s="3"/>
      <c r="D104" s="82" t="s">
        <v>10</v>
      </c>
      <c r="E104" s="82"/>
      <c r="F104" s="122"/>
      <c r="G104" s="82"/>
      <c r="H104" s="123"/>
      <c r="I104" s="121">
        <f>SUM(I96:I103)</f>
        <v>3575000</v>
      </c>
      <c r="J104" s="121">
        <f t="shared" si="16"/>
        <v>66203.703703703708</v>
      </c>
    </row>
    <row r="105" spans="1:10" x14ac:dyDescent="0.3">
      <c r="A105" s="3"/>
      <c r="B105" s="3"/>
      <c r="C105" s="3"/>
      <c r="D105" s="3"/>
      <c r="E105" s="3"/>
      <c r="F105" s="3"/>
      <c r="G105" s="3"/>
      <c r="H105" s="16"/>
      <c r="I105" s="3"/>
      <c r="J105" s="3"/>
    </row>
    <row r="106" spans="1:10" x14ac:dyDescent="0.3">
      <c r="A106" s="3"/>
      <c r="B106" s="3"/>
      <c r="C106" s="3"/>
      <c r="D106" s="83" t="s">
        <v>19</v>
      </c>
      <c r="E106" s="83"/>
      <c r="F106" s="83"/>
      <c r="G106" s="83"/>
      <c r="H106" s="131"/>
      <c r="I106" s="132">
        <f>I93+I104</f>
        <v>4315000</v>
      </c>
      <c r="J106" s="132">
        <f>J93+J104</f>
        <v>79907.407407407416</v>
      </c>
    </row>
    <row r="108" spans="1:10" x14ac:dyDescent="0.3">
      <c r="A108" s="772" t="s">
        <v>574</v>
      </c>
      <c r="B108" s="773"/>
      <c r="C108" s="773"/>
      <c r="D108" s="773"/>
      <c r="E108" s="773"/>
      <c r="F108" s="773"/>
      <c r="G108" s="773"/>
      <c r="H108" s="773"/>
      <c r="I108" s="773"/>
      <c r="J108" s="773"/>
    </row>
    <row r="109" spans="1:10" x14ac:dyDescent="0.3">
      <c r="A109" s="26"/>
      <c r="B109" s="26"/>
      <c r="C109" s="26" t="s">
        <v>4</v>
      </c>
      <c r="D109" s="26" t="s">
        <v>79</v>
      </c>
      <c r="E109" s="26" t="s">
        <v>80</v>
      </c>
      <c r="F109" s="26" t="s">
        <v>50</v>
      </c>
      <c r="G109" s="26" t="s">
        <v>57</v>
      </c>
      <c r="H109" s="27" t="s">
        <v>53</v>
      </c>
      <c r="I109" s="28" t="s">
        <v>65</v>
      </c>
      <c r="J109" s="28" t="s">
        <v>81</v>
      </c>
    </row>
    <row r="110" spans="1:10" x14ac:dyDescent="0.3">
      <c r="A110" s="774"/>
      <c r="B110" s="775"/>
      <c r="C110" s="775"/>
      <c r="D110" s="776"/>
      <c r="E110" s="107"/>
      <c r="F110" s="107"/>
      <c r="G110" s="107"/>
      <c r="H110" s="108"/>
      <c r="I110" s="107"/>
      <c r="J110" s="107"/>
    </row>
    <row r="111" spans="1:10" x14ac:dyDescent="0.3">
      <c r="A111" s="3">
        <v>1</v>
      </c>
      <c r="B111" s="3" t="s">
        <v>108</v>
      </c>
      <c r="C111" s="3"/>
      <c r="D111" s="3"/>
      <c r="E111" s="3"/>
      <c r="F111" s="3"/>
      <c r="G111" s="3"/>
      <c r="H111" s="16"/>
      <c r="I111" s="3"/>
      <c r="J111" s="3"/>
    </row>
    <row r="112" spans="1:10" x14ac:dyDescent="0.3">
      <c r="A112" s="3"/>
      <c r="B112" s="3" t="s">
        <v>84</v>
      </c>
      <c r="C112" s="3"/>
      <c r="D112" s="3" t="s">
        <v>85</v>
      </c>
      <c r="E112" s="3">
        <v>1</v>
      </c>
      <c r="F112" s="111">
        <v>15000</v>
      </c>
      <c r="G112" s="3">
        <v>1</v>
      </c>
      <c r="H112" s="16">
        <v>1</v>
      </c>
      <c r="I112" s="24">
        <f>E112*F112*G112*H112</f>
        <v>15000</v>
      </c>
      <c r="J112" s="112">
        <f>I112/54</f>
        <v>277.77777777777777</v>
      </c>
    </row>
    <row r="113" spans="1:10" x14ac:dyDescent="0.3">
      <c r="A113" s="3"/>
      <c r="B113" s="3" t="s">
        <v>86</v>
      </c>
      <c r="C113" s="3" t="s">
        <v>87</v>
      </c>
      <c r="D113" s="3"/>
      <c r="E113" s="3"/>
      <c r="F113" s="111"/>
      <c r="G113" s="3"/>
      <c r="H113" s="16"/>
      <c r="I113" s="3"/>
      <c r="J113" s="112">
        <f t="shared" ref="J113:J116" si="17">I113/54</f>
        <v>0</v>
      </c>
    </row>
    <row r="114" spans="1:10" x14ac:dyDescent="0.3">
      <c r="A114" s="3"/>
      <c r="B114" s="3"/>
      <c r="C114" s="3" t="s">
        <v>88</v>
      </c>
      <c r="D114" s="3"/>
      <c r="E114" s="79">
        <v>1</v>
      </c>
      <c r="F114" s="111">
        <v>20000</v>
      </c>
      <c r="G114" s="3">
        <v>0</v>
      </c>
      <c r="H114" s="16">
        <v>1</v>
      </c>
      <c r="I114" s="24">
        <f>E114*F114*G114*H114</f>
        <v>0</v>
      </c>
      <c r="J114" s="112">
        <f t="shared" si="17"/>
        <v>0</v>
      </c>
    </row>
    <row r="115" spans="1:10" x14ac:dyDescent="0.3">
      <c r="A115" s="3"/>
      <c r="B115" s="3"/>
      <c r="C115" s="3" t="s">
        <v>89</v>
      </c>
      <c r="D115" s="3"/>
      <c r="E115" s="79">
        <v>1</v>
      </c>
      <c r="F115" s="111">
        <v>2500</v>
      </c>
      <c r="G115" s="3">
        <v>1</v>
      </c>
      <c r="H115" s="16">
        <v>1</v>
      </c>
      <c r="I115" s="24">
        <f>E115*F115*G115*H115</f>
        <v>2500</v>
      </c>
      <c r="J115" s="112">
        <f t="shared" si="17"/>
        <v>46.296296296296298</v>
      </c>
    </row>
    <row r="116" spans="1:10" x14ac:dyDescent="0.3">
      <c r="A116" s="3"/>
      <c r="B116" s="3"/>
      <c r="C116" s="3" t="s">
        <v>90</v>
      </c>
      <c r="D116" s="3"/>
      <c r="E116" s="79">
        <v>1</v>
      </c>
      <c r="F116" s="111">
        <v>10000</v>
      </c>
      <c r="G116" s="3">
        <v>0</v>
      </c>
      <c r="H116" s="16">
        <v>1</v>
      </c>
      <c r="I116" s="24">
        <f>E116*F116*G116*H116</f>
        <v>0</v>
      </c>
      <c r="J116" s="112">
        <f t="shared" si="17"/>
        <v>0</v>
      </c>
    </row>
    <row r="117" spans="1:10" x14ac:dyDescent="0.3">
      <c r="A117" s="3"/>
      <c r="B117" s="3"/>
      <c r="C117" s="3"/>
      <c r="D117" s="82" t="s">
        <v>10</v>
      </c>
      <c r="E117" s="82"/>
      <c r="F117" s="122"/>
      <c r="G117" s="82"/>
      <c r="H117" s="123"/>
      <c r="I117" s="121">
        <f>SUM(I112:I116)</f>
        <v>17500</v>
      </c>
      <c r="J117" s="121">
        <f>SUM(J112:J116)</f>
        <v>324.07407407407408</v>
      </c>
    </row>
    <row r="118" spans="1:10" x14ac:dyDescent="0.3">
      <c r="A118" s="96"/>
      <c r="B118" s="96"/>
      <c r="C118" s="96"/>
      <c r="D118" s="96"/>
      <c r="E118" s="96"/>
      <c r="F118" s="124"/>
      <c r="G118" s="96"/>
      <c r="H118" s="125"/>
      <c r="I118" s="126"/>
      <c r="J118" s="96"/>
    </row>
    <row r="119" spans="1:10" x14ac:dyDescent="0.3">
      <c r="A119" s="769" t="s">
        <v>257</v>
      </c>
      <c r="B119" s="770"/>
      <c r="C119" s="770"/>
      <c r="D119" s="771"/>
      <c r="E119" s="127"/>
      <c r="F119" s="128"/>
      <c r="G119" s="127"/>
      <c r="H119" s="129"/>
      <c r="I119" s="127"/>
      <c r="J119" s="127"/>
    </row>
    <row r="120" spans="1:10" x14ac:dyDescent="0.3">
      <c r="A120" s="3"/>
      <c r="B120" s="3" t="s">
        <v>92</v>
      </c>
      <c r="C120" s="3" t="s">
        <v>93</v>
      </c>
      <c r="D120" s="3"/>
      <c r="E120" s="3">
        <v>15</v>
      </c>
      <c r="F120" s="111">
        <v>750</v>
      </c>
      <c r="G120" s="3">
        <v>1</v>
      </c>
      <c r="H120" s="16">
        <v>1</v>
      </c>
      <c r="I120" s="24">
        <f t="shared" ref="I120:I127" si="18">E120*F120*G120*H120</f>
        <v>11250</v>
      </c>
      <c r="J120" s="133">
        <f>I120/54</f>
        <v>208.33333333333334</v>
      </c>
    </row>
    <row r="121" spans="1:10" x14ac:dyDescent="0.3">
      <c r="A121" s="3"/>
      <c r="B121" s="3" t="s">
        <v>86</v>
      </c>
      <c r="C121" s="3" t="s">
        <v>94</v>
      </c>
      <c r="D121" s="3" t="s">
        <v>110</v>
      </c>
      <c r="E121" s="3">
        <v>10</v>
      </c>
      <c r="F121" s="111">
        <v>1500</v>
      </c>
      <c r="G121" s="3">
        <v>1</v>
      </c>
      <c r="H121" s="16">
        <v>1</v>
      </c>
      <c r="I121" s="24">
        <f t="shared" si="18"/>
        <v>15000</v>
      </c>
      <c r="J121" s="133">
        <f t="shared" ref="J121:J128" si="19">I121/54</f>
        <v>277.77777777777777</v>
      </c>
    </row>
    <row r="122" spans="1:10" x14ac:dyDescent="0.3">
      <c r="A122" s="3"/>
      <c r="B122" s="3" t="s">
        <v>95</v>
      </c>
      <c r="C122" s="3" t="s">
        <v>96</v>
      </c>
      <c r="D122" s="3" t="s">
        <v>110</v>
      </c>
      <c r="E122" s="3">
        <v>10</v>
      </c>
      <c r="F122" s="111">
        <v>4000</v>
      </c>
      <c r="G122" s="3">
        <v>1</v>
      </c>
      <c r="H122" s="16">
        <v>1</v>
      </c>
      <c r="I122" s="24">
        <f t="shared" si="18"/>
        <v>40000</v>
      </c>
      <c r="J122" s="133">
        <f t="shared" si="19"/>
        <v>740.74074074074076</v>
      </c>
    </row>
    <row r="123" spans="1:10" x14ac:dyDescent="0.3">
      <c r="A123" s="3"/>
      <c r="B123" s="3" t="s">
        <v>97</v>
      </c>
      <c r="C123" s="3" t="s">
        <v>171</v>
      </c>
      <c r="D123" s="3" t="s">
        <v>110</v>
      </c>
      <c r="E123" s="3">
        <v>15</v>
      </c>
      <c r="F123" s="111">
        <v>1000</v>
      </c>
      <c r="G123" s="3">
        <v>1</v>
      </c>
      <c r="H123" s="16">
        <v>1</v>
      </c>
      <c r="I123" s="24">
        <f t="shared" si="18"/>
        <v>15000</v>
      </c>
      <c r="J123" s="133">
        <f t="shared" si="19"/>
        <v>277.77777777777777</v>
      </c>
    </row>
    <row r="124" spans="1:10" x14ac:dyDescent="0.3">
      <c r="A124" s="3"/>
      <c r="B124" s="3" t="s">
        <v>99</v>
      </c>
      <c r="C124" s="3" t="s">
        <v>100</v>
      </c>
      <c r="D124" s="3" t="s">
        <v>112</v>
      </c>
      <c r="E124" s="3">
        <v>1</v>
      </c>
      <c r="F124" s="111">
        <v>45000</v>
      </c>
      <c r="G124" s="3">
        <v>0</v>
      </c>
      <c r="H124" s="16">
        <v>1</v>
      </c>
      <c r="I124" s="24">
        <f t="shared" si="18"/>
        <v>0</v>
      </c>
      <c r="J124" s="133">
        <f t="shared" si="19"/>
        <v>0</v>
      </c>
    </row>
    <row r="125" spans="1:10" x14ac:dyDescent="0.3">
      <c r="A125" s="3"/>
      <c r="B125" s="3" t="s">
        <v>101</v>
      </c>
      <c r="C125" s="3" t="s">
        <v>102</v>
      </c>
      <c r="D125" s="3"/>
      <c r="E125" s="3">
        <v>1</v>
      </c>
      <c r="F125" s="111">
        <v>10000</v>
      </c>
      <c r="G125" s="3">
        <v>1</v>
      </c>
      <c r="H125" s="16">
        <v>1</v>
      </c>
      <c r="I125" s="24">
        <f t="shared" si="18"/>
        <v>10000</v>
      </c>
      <c r="J125" s="133">
        <f t="shared" si="19"/>
        <v>185.18518518518519</v>
      </c>
    </row>
    <row r="126" spans="1:10" x14ac:dyDescent="0.3">
      <c r="A126" s="3"/>
      <c r="B126" s="3" t="s">
        <v>103</v>
      </c>
      <c r="C126" s="3" t="s">
        <v>104</v>
      </c>
      <c r="D126" s="3" t="s">
        <v>105</v>
      </c>
      <c r="E126" s="3">
        <v>1</v>
      </c>
      <c r="F126" s="111">
        <v>5000</v>
      </c>
      <c r="G126" s="3">
        <v>1</v>
      </c>
      <c r="H126" s="16">
        <v>1</v>
      </c>
      <c r="I126" s="24">
        <f t="shared" si="18"/>
        <v>5000</v>
      </c>
      <c r="J126" s="133">
        <f t="shared" si="19"/>
        <v>92.592592592592595</v>
      </c>
    </row>
    <row r="127" spans="1:10" x14ac:dyDescent="0.3">
      <c r="A127" s="3"/>
      <c r="B127" s="3" t="s">
        <v>106</v>
      </c>
      <c r="C127" s="3" t="s">
        <v>107</v>
      </c>
      <c r="D127" s="3"/>
      <c r="E127" s="3">
        <v>10</v>
      </c>
      <c r="F127" s="111">
        <v>400</v>
      </c>
      <c r="G127" s="3">
        <v>1</v>
      </c>
      <c r="H127" s="16">
        <v>1</v>
      </c>
      <c r="I127" s="24">
        <f t="shared" si="18"/>
        <v>4000</v>
      </c>
      <c r="J127" s="133">
        <f t="shared" si="19"/>
        <v>74.074074074074076</v>
      </c>
    </row>
    <row r="128" spans="1:10" x14ac:dyDescent="0.3">
      <c r="A128" s="3"/>
      <c r="B128" s="3"/>
      <c r="C128" s="3"/>
      <c r="D128" s="82" t="s">
        <v>10</v>
      </c>
      <c r="E128" s="82"/>
      <c r="F128" s="122"/>
      <c r="G128" s="82"/>
      <c r="H128" s="123"/>
      <c r="I128" s="121">
        <f>SUM(I120:I127)</f>
        <v>100250</v>
      </c>
      <c r="J128" s="121">
        <f t="shared" si="19"/>
        <v>1856.4814814814815</v>
      </c>
    </row>
    <row r="130" spans="1:11" x14ac:dyDescent="0.3">
      <c r="A130" s="26"/>
      <c r="B130" s="26"/>
      <c r="C130" s="26" t="s">
        <v>4</v>
      </c>
      <c r="D130" s="26" t="s">
        <v>79</v>
      </c>
      <c r="E130" s="26" t="s">
        <v>80</v>
      </c>
      <c r="F130" s="26" t="s">
        <v>50</v>
      </c>
      <c r="G130" s="26" t="s">
        <v>57</v>
      </c>
      <c r="H130" s="27" t="s">
        <v>53</v>
      </c>
      <c r="I130" s="28" t="s">
        <v>65</v>
      </c>
      <c r="J130" s="28" t="s">
        <v>81</v>
      </c>
    </row>
    <row r="131" spans="1:11" x14ac:dyDescent="0.3">
      <c r="A131" s="3"/>
      <c r="B131" s="3" t="s">
        <v>92</v>
      </c>
      <c r="C131" s="3" t="s">
        <v>258</v>
      </c>
      <c r="D131" s="3" t="s">
        <v>259</v>
      </c>
      <c r="E131" s="3">
        <v>5</v>
      </c>
      <c r="F131" s="111">
        <v>4000</v>
      </c>
      <c r="G131" s="3">
        <v>2</v>
      </c>
      <c r="H131" s="16">
        <v>1</v>
      </c>
      <c r="I131" s="24">
        <f t="shared" ref="I131:I133" si="20">E131*F131*G131*H131</f>
        <v>40000</v>
      </c>
      <c r="J131" s="133">
        <f t="shared" ref="J131:J134" si="21">I131/54</f>
        <v>740.74074074074076</v>
      </c>
    </row>
    <row r="132" spans="1:11" x14ac:dyDescent="0.3">
      <c r="A132" s="3"/>
      <c r="B132" s="3" t="s">
        <v>86</v>
      </c>
      <c r="C132" s="3" t="s">
        <v>205</v>
      </c>
      <c r="D132" s="3" t="s">
        <v>110</v>
      </c>
      <c r="E132" s="3">
        <v>10</v>
      </c>
      <c r="F132" s="111">
        <v>4000</v>
      </c>
      <c r="G132" s="3">
        <v>2</v>
      </c>
      <c r="H132" s="16">
        <v>1</v>
      </c>
      <c r="I132" s="24">
        <f t="shared" si="20"/>
        <v>80000</v>
      </c>
      <c r="J132" s="133">
        <f t="shared" si="21"/>
        <v>1481.4814814814815</v>
      </c>
    </row>
    <row r="133" spans="1:11" x14ac:dyDescent="0.3">
      <c r="A133" s="3"/>
      <c r="B133" s="3" t="s">
        <v>95</v>
      </c>
      <c r="C133" s="159" t="s">
        <v>260</v>
      </c>
      <c r="D133" s="3"/>
      <c r="E133" s="3">
        <v>1</v>
      </c>
      <c r="F133" s="111">
        <v>5000</v>
      </c>
      <c r="G133" s="3">
        <v>1</v>
      </c>
      <c r="H133" s="16">
        <v>1</v>
      </c>
      <c r="I133" s="24">
        <f t="shared" si="20"/>
        <v>5000</v>
      </c>
      <c r="J133" s="133">
        <f t="shared" si="21"/>
        <v>92.592592592592595</v>
      </c>
    </row>
    <row r="134" spans="1:11" x14ac:dyDescent="0.3">
      <c r="A134" s="3"/>
      <c r="B134" s="3"/>
      <c r="C134" s="3"/>
      <c r="D134" s="82" t="s">
        <v>10</v>
      </c>
      <c r="E134" s="82"/>
      <c r="F134" s="122"/>
      <c r="G134" s="82"/>
      <c r="H134" s="123"/>
      <c r="I134" s="121">
        <f>SUM(I131:I133)</f>
        <v>125000</v>
      </c>
      <c r="J134" s="121">
        <f t="shared" si="21"/>
        <v>2314.8148148148148</v>
      </c>
    </row>
    <row r="136" spans="1:11" x14ac:dyDescent="0.3">
      <c r="A136" s="3"/>
      <c r="B136" s="3"/>
      <c r="C136" s="3"/>
      <c r="D136" s="83" t="s">
        <v>19</v>
      </c>
      <c r="E136" s="83"/>
      <c r="F136" s="83"/>
      <c r="G136" s="83"/>
      <c r="H136" s="131"/>
      <c r="I136" s="132">
        <f>SUM(I134+I128+I117)</f>
        <v>242750</v>
      </c>
      <c r="J136" s="132">
        <f>J117+J128</f>
        <v>2180.5555555555557</v>
      </c>
    </row>
    <row r="138" spans="1:11" x14ac:dyDescent="0.3">
      <c r="B138" s="199" t="s">
        <v>275</v>
      </c>
      <c r="C138" s="199" t="s">
        <v>276</v>
      </c>
      <c r="D138" s="199" t="s">
        <v>277</v>
      </c>
      <c r="E138" s="199" t="s">
        <v>57</v>
      </c>
      <c r="F138" s="200" t="s">
        <v>9</v>
      </c>
      <c r="G138" s="201" t="s">
        <v>278</v>
      </c>
      <c r="H138" s="199" t="s">
        <v>26</v>
      </c>
      <c r="I138" s="199" t="s">
        <v>27</v>
      </c>
      <c r="J138" s="199" t="s">
        <v>28</v>
      </c>
      <c r="K138" s="202" t="s">
        <v>9</v>
      </c>
    </row>
    <row r="139" spans="1:11" ht="43.2" x14ac:dyDescent="0.3">
      <c r="B139" s="3" t="s">
        <v>279</v>
      </c>
      <c r="C139" s="3">
        <v>4400</v>
      </c>
      <c r="D139" s="3">
        <v>40</v>
      </c>
      <c r="E139" s="3">
        <f>2*60*10</f>
        <v>1200</v>
      </c>
      <c r="F139" s="203">
        <f>(C139*D139*E139)</f>
        <v>211200000</v>
      </c>
      <c r="G139" s="204" t="s">
        <v>280</v>
      </c>
      <c r="H139" s="160">
        <f>F139/3</f>
        <v>70400000</v>
      </c>
      <c r="I139" s="160">
        <f>F139/3</f>
        <v>70400000</v>
      </c>
      <c r="J139" s="160">
        <f>F139/3</f>
        <v>70400000</v>
      </c>
      <c r="K139" s="89">
        <f>H139+I139+J139</f>
        <v>211200000</v>
      </c>
    </row>
    <row r="140" spans="1:11" ht="57.6" x14ac:dyDescent="0.3">
      <c r="B140" s="3" t="s">
        <v>281</v>
      </c>
      <c r="C140" s="3">
        <v>50</v>
      </c>
      <c r="D140" s="3">
        <v>40</v>
      </c>
      <c r="E140" s="3">
        <f>6*180*9*3</f>
        <v>29160</v>
      </c>
      <c r="F140" s="203">
        <f>(C140*D140*E140)</f>
        <v>58320000</v>
      </c>
      <c r="G140" s="205" t="s">
        <v>282</v>
      </c>
      <c r="H140" s="160">
        <f>F140/3</f>
        <v>19440000</v>
      </c>
      <c r="I140" s="160">
        <f>F140/3</f>
        <v>19440000</v>
      </c>
      <c r="J140" s="160">
        <f>F140/3</f>
        <v>19440000</v>
      </c>
      <c r="K140" s="89">
        <f>H140+I140+J140</f>
        <v>58320000</v>
      </c>
    </row>
    <row r="141" spans="1:11" x14ac:dyDescent="0.3">
      <c r="B141" s="3" t="s">
        <v>283</v>
      </c>
      <c r="C141" s="3" t="s">
        <v>284</v>
      </c>
      <c r="D141" s="3"/>
      <c r="E141" s="3">
        <v>9</v>
      </c>
      <c r="F141" s="203">
        <f>(540000*9)</f>
        <v>4860000</v>
      </c>
      <c r="G141" s="159" t="s">
        <v>285</v>
      </c>
      <c r="H141" s="160">
        <f>F141</f>
        <v>4860000</v>
      </c>
      <c r="I141" s="160">
        <f>H141*1.1</f>
        <v>5346000</v>
      </c>
      <c r="J141" s="160">
        <f>I141*1.1</f>
        <v>5880600.0000000009</v>
      </c>
      <c r="K141" s="89">
        <f>H141+I141+J141</f>
        <v>16086600</v>
      </c>
    </row>
    <row r="142" spans="1:11" x14ac:dyDescent="0.3">
      <c r="B142" s="18"/>
      <c r="C142" s="18"/>
      <c r="D142" s="18"/>
      <c r="E142" s="18"/>
      <c r="F142" s="206"/>
      <c r="G142" s="207" t="s">
        <v>9</v>
      </c>
      <c r="H142" s="208">
        <f>H139+H140+H141</f>
        <v>94700000</v>
      </c>
      <c r="I142" s="208">
        <f t="shared" ref="I142:J142" si="22">I139+I140+I141</f>
        <v>95186000</v>
      </c>
      <c r="J142" s="208">
        <f t="shared" si="22"/>
        <v>95720600</v>
      </c>
      <c r="K142" s="164">
        <f>SUM(K139:K141)</f>
        <v>285606600</v>
      </c>
    </row>
  </sheetData>
  <mergeCells count="27">
    <mergeCell ref="C11:J11"/>
    <mergeCell ref="B6:J6"/>
    <mergeCell ref="L7:O7"/>
    <mergeCell ref="C8:J8"/>
    <mergeCell ref="C9:J9"/>
    <mergeCell ref="C10:J10"/>
    <mergeCell ref="A46:D46"/>
    <mergeCell ref="C12:J12"/>
    <mergeCell ref="C13:J13"/>
    <mergeCell ref="C14:J14"/>
    <mergeCell ref="C15:J15"/>
    <mergeCell ref="C16:J16"/>
    <mergeCell ref="C17:J17"/>
    <mergeCell ref="L19:O19"/>
    <mergeCell ref="B20:J20"/>
    <mergeCell ref="B33:J33"/>
    <mergeCell ref="A35:J35"/>
    <mergeCell ref="A37:D37"/>
    <mergeCell ref="A108:J108"/>
    <mergeCell ref="A110:D110"/>
    <mergeCell ref="A119:D119"/>
    <mergeCell ref="A60:J60"/>
    <mergeCell ref="A62:D62"/>
    <mergeCell ref="A71:D71"/>
    <mergeCell ref="A84:J84"/>
    <mergeCell ref="A86:D86"/>
    <mergeCell ref="A95:D9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90"/>
  <sheetViews>
    <sheetView topLeftCell="A45" zoomScale="70" zoomScaleNormal="70" workbookViewId="0">
      <selection activeCell="N71" sqref="N71"/>
    </sheetView>
  </sheetViews>
  <sheetFormatPr defaultColWidth="10.109375" defaultRowHeight="14.4" x14ac:dyDescent="0.3"/>
  <cols>
    <col min="1" max="1" width="3.109375" style="1" customWidth="1"/>
    <col min="2" max="2" width="6.109375" style="1" customWidth="1"/>
    <col min="3" max="3" width="69.88671875" style="1" customWidth="1"/>
    <col min="4" max="4" width="21.88671875" style="1" bestFit="1" customWidth="1"/>
    <col min="5" max="5" width="17.6640625" style="1" bestFit="1" customWidth="1"/>
    <col min="6" max="6" width="27" style="1" bestFit="1" customWidth="1"/>
    <col min="7" max="7" width="19" style="1" bestFit="1" customWidth="1"/>
    <col min="8" max="8" width="8.44140625" style="1" customWidth="1"/>
    <col min="9" max="9" width="16.33203125" style="1" customWidth="1"/>
    <col min="10" max="10" width="12.33203125" style="1" bestFit="1" customWidth="1"/>
    <col min="11" max="11" width="3" style="1" customWidth="1"/>
    <col min="12" max="12" width="12.33203125" style="1" bestFit="1" customWidth="1"/>
    <col min="13" max="13" width="14" style="1" bestFit="1" customWidth="1"/>
    <col min="14" max="15" width="14.44140625" style="1" bestFit="1" customWidth="1"/>
    <col min="16" max="18" width="17.33203125" style="1" bestFit="1" customWidth="1"/>
    <col min="19" max="19" width="18.44140625" style="1" bestFit="1" customWidth="1"/>
    <col min="20" max="16384" width="10.109375" style="1"/>
  </cols>
  <sheetData>
    <row r="2" spans="2:19" ht="28.8" x14ac:dyDescent="0.3">
      <c r="B2" s="190">
        <v>3.4</v>
      </c>
      <c r="C2" s="65" t="s">
        <v>575</v>
      </c>
      <c r="D2" s="62" t="s">
        <v>26</v>
      </c>
      <c r="E2" s="62" t="s">
        <v>27</v>
      </c>
      <c r="F2" s="62" t="s">
        <v>28</v>
      </c>
      <c r="G2" s="62" t="s">
        <v>9</v>
      </c>
    </row>
    <row r="3" spans="2:19" x14ac:dyDescent="0.3">
      <c r="B3" s="51"/>
      <c r="C3" s="66"/>
      <c r="D3" s="67">
        <f>P39</f>
        <v>1146944.4444444445</v>
      </c>
      <c r="E3" s="67">
        <f t="shared" ref="E3:F3" si="0">Q39</f>
        <v>1182481.4814814816</v>
      </c>
      <c r="F3" s="67">
        <f t="shared" si="0"/>
        <v>161370.37037037036</v>
      </c>
      <c r="G3" s="67">
        <f>D3+E3+F3</f>
        <v>2490796.2962962966</v>
      </c>
    </row>
    <row r="4" spans="2:19" x14ac:dyDescent="0.3">
      <c r="B4" s="51"/>
      <c r="C4" s="68" t="s">
        <v>10</v>
      </c>
      <c r="D4" s="69">
        <f>D3</f>
        <v>1146944.4444444445</v>
      </c>
      <c r="E4" s="69">
        <f t="shared" ref="E4:G4" si="1">E3</f>
        <v>1182481.4814814816</v>
      </c>
      <c r="F4" s="69">
        <f t="shared" si="1"/>
        <v>161370.37037037036</v>
      </c>
      <c r="G4" s="69">
        <f t="shared" si="1"/>
        <v>2490796.2962962966</v>
      </c>
    </row>
    <row r="5" spans="2:19" x14ac:dyDescent="0.3">
      <c r="B5" s="70"/>
      <c r="C5" s="71"/>
      <c r="D5" s="72"/>
      <c r="E5" s="72"/>
      <c r="F5" s="72"/>
      <c r="G5" s="72"/>
    </row>
    <row r="6" spans="2:19" ht="20.100000000000001" customHeight="1" x14ac:dyDescent="0.3">
      <c r="B6" s="784" t="s">
        <v>34</v>
      </c>
      <c r="C6" s="785"/>
      <c r="D6" s="785"/>
      <c r="E6" s="785"/>
      <c r="F6" s="785"/>
      <c r="G6" s="785"/>
      <c r="H6" s="785"/>
      <c r="I6" s="785"/>
      <c r="J6" s="786"/>
      <c r="K6" s="3"/>
      <c r="L6" s="3"/>
      <c r="M6" s="3"/>
      <c r="N6" s="3"/>
      <c r="O6" s="3"/>
      <c r="P6" s="8"/>
      <c r="Q6" s="8"/>
      <c r="R6" s="8"/>
      <c r="S6" s="6"/>
    </row>
    <row r="7" spans="2:19" ht="20.100000000000001" customHeight="1" x14ac:dyDescent="0.3">
      <c r="B7" s="209"/>
      <c r="C7" s="73"/>
      <c r="D7" s="210"/>
      <c r="E7" s="210"/>
      <c r="F7" s="210"/>
      <c r="G7" s="210"/>
      <c r="H7" s="10"/>
      <c r="I7" s="10"/>
      <c r="J7" s="10"/>
      <c r="K7" s="3"/>
      <c r="L7" s="782" t="s">
        <v>26</v>
      </c>
      <c r="M7" s="782"/>
      <c r="N7" s="782"/>
      <c r="O7" s="782"/>
      <c r="P7" s="136" t="s">
        <v>26</v>
      </c>
      <c r="Q7" s="137" t="s">
        <v>27</v>
      </c>
      <c r="R7" s="137" t="s">
        <v>28</v>
      </c>
      <c r="S7" s="77" t="s">
        <v>9</v>
      </c>
    </row>
    <row r="8" spans="2:19" ht="20.100000000000001" customHeight="1" x14ac:dyDescent="0.3">
      <c r="B8" s="139"/>
      <c r="C8" s="795" t="str">
        <f>C2</f>
        <v>Promote advocacy with media for creating an enabling environment for increasing demand for RI services</v>
      </c>
      <c r="D8" s="796"/>
      <c r="E8" s="796"/>
      <c r="F8" s="796"/>
      <c r="G8" s="796"/>
      <c r="H8" s="796"/>
      <c r="I8" s="796"/>
      <c r="J8" s="797"/>
      <c r="K8" s="3"/>
      <c r="L8" s="80" t="s">
        <v>36</v>
      </c>
      <c r="M8" s="80" t="s">
        <v>37</v>
      </c>
      <c r="N8" s="80" t="s">
        <v>38</v>
      </c>
      <c r="O8" s="80" t="s">
        <v>39</v>
      </c>
      <c r="P8" s="136" t="s">
        <v>9</v>
      </c>
      <c r="Q8" s="137" t="s">
        <v>9</v>
      </c>
      <c r="R8" s="137" t="s">
        <v>9</v>
      </c>
      <c r="S8" s="77"/>
    </row>
    <row r="9" spans="2:19" ht="20.100000000000001" customHeight="1" x14ac:dyDescent="0.3">
      <c r="B9" s="139" t="str">
        <f>B26</f>
        <v>3.4.1</v>
      </c>
      <c r="C9" s="787" t="str">
        <f>C26</f>
        <v>Hold national and state-level media workshops to sensitize electronic and print media personnel</v>
      </c>
      <c r="D9" s="788"/>
      <c r="E9" s="788"/>
      <c r="F9" s="788"/>
      <c r="G9" s="788"/>
      <c r="H9" s="788"/>
      <c r="I9" s="788"/>
      <c r="J9" s="789"/>
      <c r="K9" s="3"/>
      <c r="L9" s="3"/>
      <c r="M9" s="3"/>
      <c r="N9" s="3"/>
      <c r="O9" s="3"/>
      <c r="P9" s="8"/>
      <c r="Q9" s="8"/>
      <c r="R9" s="8"/>
      <c r="S9" s="6"/>
    </row>
    <row r="10" spans="2:19" ht="20.100000000000001" customHeight="1" x14ac:dyDescent="0.3">
      <c r="B10" s="139"/>
      <c r="C10" s="787" t="str">
        <f>C27</f>
        <v>National workshop</v>
      </c>
      <c r="D10" s="788"/>
      <c r="E10" s="788"/>
      <c r="F10" s="788"/>
      <c r="G10" s="788"/>
      <c r="H10" s="788"/>
      <c r="I10" s="788"/>
      <c r="J10" s="789"/>
      <c r="K10" s="3"/>
      <c r="L10" s="3"/>
      <c r="M10" s="3">
        <v>1</v>
      </c>
      <c r="N10" s="3"/>
      <c r="O10" s="3"/>
      <c r="P10" s="8"/>
      <c r="Q10" s="8"/>
      <c r="R10" s="8"/>
      <c r="S10" s="6"/>
    </row>
    <row r="11" spans="2:19" ht="20.100000000000001" customHeight="1" x14ac:dyDescent="0.3">
      <c r="B11" s="139"/>
      <c r="C11" s="787" t="str">
        <f t="shared" ref="C11:C21" si="2">C28</f>
        <v>State workshops in 9 states</v>
      </c>
      <c r="D11" s="788"/>
      <c r="E11" s="788"/>
      <c r="F11" s="788"/>
      <c r="G11" s="788"/>
      <c r="H11" s="788"/>
      <c r="I11" s="788"/>
      <c r="J11" s="789"/>
      <c r="K11" s="3"/>
      <c r="L11" s="3"/>
      <c r="M11" s="3"/>
      <c r="N11" s="3">
        <v>3</v>
      </c>
      <c r="O11" s="3">
        <v>3</v>
      </c>
      <c r="P11" s="8">
        <v>6</v>
      </c>
      <c r="Q11" s="8">
        <v>12</v>
      </c>
      <c r="R11" s="8"/>
      <c r="S11" s="6">
        <v>18</v>
      </c>
    </row>
    <row r="12" spans="2:19" ht="20.100000000000001" customHeight="1" x14ac:dyDescent="0.3">
      <c r="B12" s="139" t="str">
        <f t="shared" ref="B12:B21" si="3">B29</f>
        <v>3.4.2</v>
      </c>
      <c r="C12" s="787" t="str">
        <f t="shared" si="2"/>
        <v>Media monitoring and tracking</v>
      </c>
      <c r="D12" s="788"/>
      <c r="E12" s="788"/>
      <c r="F12" s="788"/>
      <c r="G12" s="788"/>
      <c r="H12" s="788"/>
      <c r="I12" s="788"/>
      <c r="J12" s="789"/>
      <c r="K12" s="3"/>
      <c r="L12" s="3"/>
      <c r="M12" s="3"/>
      <c r="N12" s="3"/>
      <c r="O12" s="3"/>
      <c r="P12" s="8"/>
      <c r="Q12" s="8"/>
      <c r="R12" s="8"/>
      <c r="S12" s="6"/>
    </row>
    <row r="13" spans="2:19" ht="20.100000000000001" customHeight="1" x14ac:dyDescent="0.3">
      <c r="B13" s="139"/>
      <c r="C13" s="787" t="str">
        <f t="shared" si="2"/>
        <v>Professional fees for development of a media monitoring and tracking framework</v>
      </c>
      <c r="D13" s="788"/>
      <c r="E13" s="788"/>
      <c r="F13" s="788"/>
      <c r="G13" s="788"/>
      <c r="H13" s="788"/>
      <c r="I13" s="788"/>
      <c r="J13" s="789"/>
      <c r="K13" s="3"/>
      <c r="L13" s="3"/>
      <c r="M13" s="3"/>
      <c r="N13" s="3"/>
      <c r="O13" s="3">
        <v>1</v>
      </c>
      <c r="P13" s="8"/>
      <c r="Q13" s="8"/>
      <c r="R13" s="8"/>
      <c r="S13" s="6"/>
    </row>
    <row r="14" spans="2:19" ht="20.100000000000001" customHeight="1" x14ac:dyDescent="0.3">
      <c r="B14" s="139"/>
      <c r="C14" s="787" t="str">
        <f t="shared" si="2"/>
        <v>9 state workshops on media monitoring and tracking framework</v>
      </c>
      <c r="D14" s="788"/>
      <c r="E14" s="788"/>
      <c r="F14" s="788"/>
      <c r="G14" s="788"/>
      <c r="H14" s="788"/>
      <c r="I14" s="788"/>
      <c r="J14" s="789"/>
      <c r="K14" s="3"/>
      <c r="L14" s="3"/>
      <c r="M14" s="3"/>
      <c r="N14" s="3"/>
      <c r="O14" s="3">
        <v>3</v>
      </c>
      <c r="P14" s="8">
        <v>3</v>
      </c>
      <c r="Q14" s="8">
        <v>3</v>
      </c>
      <c r="R14" s="8">
        <v>3</v>
      </c>
      <c r="S14" s="6">
        <v>9</v>
      </c>
    </row>
    <row r="15" spans="2:19" ht="20.100000000000001" customHeight="1" x14ac:dyDescent="0.3">
      <c r="B15" s="139" t="str">
        <f t="shared" si="3"/>
        <v>3.4.3</v>
      </c>
      <c r="C15" s="787" t="str">
        <f t="shared" si="2"/>
        <v xml:space="preserve">Advocacy workshops with Parliamentarians/CSOs/Pvt Sec </v>
      </c>
      <c r="D15" s="788"/>
      <c r="E15" s="788"/>
      <c r="F15" s="788"/>
      <c r="G15" s="788"/>
      <c r="H15" s="788"/>
      <c r="I15" s="788"/>
      <c r="J15" s="789"/>
      <c r="K15" s="3"/>
      <c r="L15" s="3"/>
      <c r="M15" s="3"/>
      <c r="N15" s="3"/>
      <c r="O15" s="3"/>
      <c r="P15" s="8"/>
      <c r="Q15" s="8"/>
      <c r="R15" s="8"/>
      <c r="S15" s="6"/>
    </row>
    <row r="16" spans="2:19" ht="20.100000000000001" customHeight="1" x14ac:dyDescent="0.3">
      <c r="B16" s="139"/>
      <c r="C16" s="787" t="str">
        <f t="shared" si="2"/>
        <v xml:space="preserve">National workshop </v>
      </c>
      <c r="D16" s="788"/>
      <c r="E16" s="788"/>
      <c r="F16" s="788"/>
      <c r="G16" s="788"/>
      <c r="H16" s="788"/>
      <c r="I16" s="788"/>
      <c r="J16" s="789"/>
      <c r="K16" s="3"/>
      <c r="L16" s="3"/>
      <c r="M16" s="3"/>
      <c r="N16" s="3">
        <v>1</v>
      </c>
      <c r="O16" s="3"/>
      <c r="P16" s="8">
        <v>1</v>
      </c>
      <c r="Q16" s="8"/>
      <c r="R16" s="8"/>
      <c r="S16" s="6">
        <v>1</v>
      </c>
    </row>
    <row r="17" spans="2:19" ht="20.100000000000001" customHeight="1" x14ac:dyDescent="0.3">
      <c r="B17" s="139"/>
      <c r="C17" s="787" t="str">
        <f t="shared" si="2"/>
        <v xml:space="preserve">9 state workshops </v>
      </c>
      <c r="D17" s="788"/>
      <c r="E17" s="788"/>
      <c r="F17" s="788"/>
      <c r="G17" s="788"/>
      <c r="H17" s="788"/>
      <c r="I17" s="788"/>
      <c r="J17" s="789"/>
      <c r="K17" s="3"/>
      <c r="L17" s="3"/>
      <c r="M17" s="3">
        <v>3</v>
      </c>
      <c r="N17" s="3">
        <v>3</v>
      </c>
      <c r="O17" s="3">
        <v>3</v>
      </c>
      <c r="P17" s="8">
        <v>9</v>
      </c>
      <c r="Q17" s="8">
        <v>9</v>
      </c>
      <c r="R17" s="8"/>
      <c r="S17" s="6"/>
    </row>
    <row r="18" spans="2:19" ht="20.100000000000001" customHeight="1" x14ac:dyDescent="0.3">
      <c r="B18" s="139" t="str">
        <f t="shared" si="3"/>
        <v>3.4.4</v>
      </c>
      <c r="C18" s="787" t="str">
        <f t="shared" si="2"/>
        <v>Media handling Training of AEFI committee members</v>
      </c>
      <c r="D18" s="788"/>
      <c r="E18" s="788"/>
      <c r="F18" s="788"/>
      <c r="G18" s="788"/>
      <c r="H18" s="788"/>
      <c r="I18" s="788"/>
      <c r="J18" s="789"/>
      <c r="K18" s="3"/>
      <c r="L18" s="3"/>
      <c r="M18" s="3"/>
      <c r="N18" s="3"/>
      <c r="O18" s="3"/>
      <c r="P18" s="8"/>
      <c r="Q18" s="8"/>
      <c r="R18" s="8"/>
      <c r="S18" s="6"/>
    </row>
    <row r="19" spans="2:19" ht="20.100000000000001" customHeight="1" x14ac:dyDescent="0.3">
      <c r="B19" s="139"/>
      <c r="C19" s="787" t="str">
        <f t="shared" si="2"/>
        <v xml:space="preserve">National AEFI Committee </v>
      </c>
      <c r="D19" s="788"/>
      <c r="E19" s="788"/>
      <c r="F19" s="788"/>
      <c r="G19" s="788"/>
      <c r="H19" s="788"/>
      <c r="I19" s="788"/>
      <c r="J19" s="789"/>
      <c r="K19" s="3"/>
      <c r="L19" s="3"/>
      <c r="M19" s="3">
        <v>1</v>
      </c>
      <c r="N19" s="3"/>
      <c r="O19" s="3"/>
      <c r="P19" s="8"/>
      <c r="Q19" s="8"/>
      <c r="R19" s="8"/>
      <c r="S19" s="6"/>
    </row>
    <row r="20" spans="2:19" ht="20.100000000000001" customHeight="1" x14ac:dyDescent="0.3">
      <c r="B20" s="139"/>
      <c r="C20" s="787" t="str">
        <f t="shared" si="2"/>
        <v>AEFI committee members in 9 States</v>
      </c>
      <c r="D20" s="788"/>
      <c r="E20" s="788"/>
      <c r="F20" s="788"/>
      <c r="G20" s="788"/>
      <c r="H20" s="788"/>
      <c r="I20" s="788"/>
      <c r="J20" s="789"/>
      <c r="K20" s="3"/>
      <c r="L20" s="3"/>
      <c r="M20" s="3">
        <v>3</v>
      </c>
      <c r="N20" s="3">
        <v>3</v>
      </c>
      <c r="O20" s="3">
        <v>3</v>
      </c>
      <c r="P20" s="8">
        <v>9</v>
      </c>
      <c r="Q20" s="8">
        <v>9</v>
      </c>
      <c r="R20" s="8"/>
      <c r="S20" s="6">
        <v>18</v>
      </c>
    </row>
    <row r="21" spans="2:19" ht="39.75" customHeight="1" x14ac:dyDescent="0.3">
      <c r="B21" s="139" t="str">
        <f t="shared" si="3"/>
        <v>3.4.5</v>
      </c>
      <c r="C21" s="787" t="str">
        <f t="shared" si="2"/>
        <v>Partnership with media institutions/associations for leveraging information for reaching remote areas (Under existing MoU with Indira Gandhi National Open University, raise contract to support the development of modules on Immunisation &amp; communication)</v>
      </c>
      <c r="D21" s="788"/>
      <c r="E21" s="788"/>
      <c r="F21" s="788"/>
      <c r="G21" s="788"/>
      <c r="H21" s="788"/>
      <c r="I21" s="788"/>
      <c r="J21" s="789"/>
      <c r="K21" s="3"/>
      <c r="L21" s="3"/>
      <c r="M21" s="3"/>
      <c r="N21" s="3"/>
      <c r="O21" s="3">
        <v>1</v>
      </c>
      <c r="P21" s="8"/>
      <c r="Q21" s="8">
        <v>1</v>
      </c>
      <c r="R21" s="8">
        <v>1</v>
      </c>
      <c r="S21" s="6"/>
    </row>
    <row r="22" spans="2:19" x14ac:dyDescent="0.3">
      <c r="P22" s="2"/>
      <c r="Q22" s="2"/>
      <c r="R22" s="2"/>
      <c r="S22" s="2"/>
    </row>
    <row r="23" spans="2:19" s="2" customFormat="1" x14ac:dyDescent="0.3">
      <c r="L23" s="778" t="s">
        <v>26</v>
      </c>
      <c r="M23" s="778"/>
      <c r="N23" s="778"/>
      <c r="O23" s="778"/>
      <c r="P23" s="140" t="str">
        <f>P7</f>
        <v>Year 1</v>
      </c>
      <c r="Q23" s="141" t="s">
        <v>27</v>
      </c>
      <c r="R23" s="141" t="s">
        <v>28</v>
      </c>
      <c r="S23" s="86" t="s">
        <v>9</v>
      </c>
    </row>
    <row r="24" spans="2:19" x14ac:dyDescent="0.3">
      <c r="B24" s="790" t="str">
        <f>C2</f>
        <v>Promote advocacy with media for creating an enabling environment for increasing demand for RI services</v>
      </c>
      <c r="C24" s="790"/>
      <c r="D24" s="790"/>
      <c r="E24" s="790"/>
      <c r="F24" s="790"/>
      <c r="G24" s="790"/>
      <c r="H24" s="790"/>
      <c r="I24" s="790"/>
      <c r="J24" s="790"/>
      <c r="K24" s="3"/>
      <c r="L24" s="80" t="s">
        <v>36</v>
      </c>
      <c r="M24" s="80" t="s">
        <v>37</v>
      </c>
      <c r="N24" s="80" t="s">
        <v>38</v>
      </c>
      <c r="O24" s="80" t="s">
        <v>39</v>
      </c>
      <c r="P24" s="136" t="s">
        <v>9</v>
      </c>
      <c r="Q24" s="137" t="s">
        <v>9</v>
      </c>
      <c r="R24" s="137" t="s">
        <v>9</v>
      </c>
      <c r="S24" s="77"/>
    </row>
    <row r="25" spans="2:19" ht="28.8" x14ac:dyDescent="0.3">
      <c r="B25" s="87"/>
      <c r="C25" s="87" t="s">
        <v>145</v>
      </c>
      <c r="D25" s="87" t="s">
        <v>79</v>
      </c>
      <c r="E25" s="87" t="s">
        <v>80</v>
      </c>
      <c r="F25" s="87" t="s">
        <v>146</v>
      </c>
      <c r="G25" s="87" t="s">
        <v>147</v>
      </c>
      <c r="H25" s="87" t="s">
        <v>148</v>
      </c>
      <c r="I25" s="88" t="s">
        <v>65</v>
      </c>
      <c r="J25" s="88" t="s">
        <v>81</v>
      </c>
      <c r="K25" s="3"/>
      <c r="L25" s="89"/>
      <c r="M25" s="89"/>
      <c r="N25" s="89"/>
      <c r="O25" s="89"/>
      <c r="P25" s="137"/>
      <c r="Q25" s="137"/>
      <c r="R25" s="137"/>
      <c r="S25" s="77"/>
    </row>
    <row r="26" spans="2:19" ht="28.8" x14ac:dyDescent="0.3">
      <c r="B26" s="195" t="s">
        <v>286</v>
      </c>
      <c r="C26" s="188" t="s">
        <v>287</v>
      </c>
      <c r="D26" s="90"/>
      <c r="E26" s="91"/>
      <c r="F26" s="92"/>
      <c r="G26" s="90"/>
      <c r="H26" s="90"/>
      <c r="I26" s="93">
        <f t="shared" ref="I26:I34" si="4">E26*F26*G26*H26</f>
        <v>0</v>
      </c>
      <c r="J26" s="94">
        <f t="shared" ref="J26:J34" si="5">I26/54</f>
        <v>0</v>
      </c>
      <c r="K26" s="3"/>
      <c r="L26" s="89"/>
      <c r="M26" s="89"/>
      <c r="N26" s="89"/>
      <c r="O26" s="89"/>
      <c r="P26" s="137">
        <f>L26+M26+N26+O26</f>
        <v>0</v>
      </c>
      <c r="Q26" s="137">
        <f>J26</f>
        <v>0</v>
      </c>
      <c r="R26" s="137"/>
      <c r="S26" s="77">
        <f>P26+Q26+R26</f>
        <v>0</v>
      </c>
    </row>
    <row r="27" spans="2:19" x14ac:dyDescent="0.3">
      <c r="B27" s="195"/>
      <c r="C27" s="188" t="s">
        <v>288</v>
      </c>
      <c r="D27" s="90"/>
      <c r="E27" s="91">
        <v>1</v>
      </c>
      <c r="F27" s="92">
        <f>I65</f>
        <v>2775000</v>
      </c>
      <c r="G27" s="90">
        <v>1</v>
      </c>
      <c r="H27" s="90">
        <v>1</v>
      </c>
      <c r="I27" s="93">
        <f t="shared" si="4"/>
        <v>2775000</v>
      </c>
      <c r="J27" s="94">
        <f t="shared" si="5"/>
        <v>51388.888888888891</v>
      </c>
      <c r="K27" s="3"/>
      <c r="L27" s="89"/>
      <c r="M27" s="89">
        <f>J27</f>
        <v>51388.888888888891</v>
      </c>
      <c r="N27" s="89"/>
      <c r="O27" s="89"/>
      <c r="P27" s="137">
        <f t="shared" ref="P27:P31" si="6">L27+M27+N27+O27</f>
        <v>51388.888888888891</v>
      </c>
      <c r="Q27" s="137"/>
      <c r="R27" s="137"/>
      <c r="S27" s="77">
        <f t="shared" ref="S27:S31" si="7">P27+Q27+R27</f>
        <v>51388.888888888891</v>
      </c>
    </row>
    <row r="28" spans="2:19" x14ac:dyDescent="0.3">
      <c r="B28" s="195"/>
      <c r="C28" s="188" t="s">
        <v>289</v>
      </c>
      <c r="D28" s="90"/>
      <c r="E28" s="91">
        <v>1</v>
      </c>
      <c r="F28" s="92">
        <f>I90</f>
        <v>1838000</v>
      </c>
      <c r="G28" s="90">
        <v>1</v>
      </c>
      <c r="H28" s="90">
        <v>1</v>
      </c>
      <c r="I28" s="93">
        <f t="shared" si="4"/>
        <v>1838000</v>
      </c>
      <c r="J28" s="94">
        <f t="shared" si="5"/>
        <v>34037.037037037036</v>
      </c>
      <c r="K28" s="3"/>
      <c r="L28" s="89"/>
      <c r="M28" s="89"/>
      <c r="N28" s="89">
        <f>J28*3</f>
        <v>102111.11111111111</v>
      </c>
      <c r="O28" s="89">
        <f>J28*3</f>
        <v>102111.11111111111</v>
      </c>
      <c r="P28" s="137">
        <f t="shared" si="6"/>
        <v>204222.22222222222</v>
      </c>
      <c r="Q28" s="137">
        <f>J28*12</f>
        <v>408444.44444444444</v>
      </c>
      <c r="R28" s="137"/>
      <c r="S28" s="77">
        <f t="shared" si="7"/>
        <v>612666.66666666663</v>
      </c>
    </row>
    <row r="29" spans="2:19" ht="20.25" customHeight="1" x14ac:dyDescent="0.3">
      <c r="B29" s="195" t="s">
        <v>290</v>
      </c>
      <c r="C29" s="188" t="s">
        <v>291</v>
      </c>
      <c r="D29" s="90"/>
      <c r="E29" s="91">
        <v>1</v>
      </c>
      <c r="F29" s="92"/>
      <c r="G29" s="90">
        <v>1</v>
      </c>
      <c r="H29" s="90">
        <v>1</v>
      </c>
      <c r="I29" s="93">
        <f t="shared" si="4"/>
        <v>0</v>
      </c>
      <c r="J29" s="94">
        <f t="shared" si="5"/>
        <v>0</v>
      </c>
      <c r="K29" s="3"/>
      <c r="L29" s="89"/>
      <c r="M29" s="89"/>
      <c r="N29" s="89"/>
      <c r="O29" s="89">
        <f>J29*8</f>
        <v>0</v>
      </c>
      <c r="P29" s="137">
        <f t="shared" si="6"/>
        <v>0</v>
      </c>
      <c r="Q29" s="137">
        <f>J29*8</f>
        <v>0</v>
      </c>
      <c r="R29" s="137"/>
      <c r="S29" s="77">
        <f t="shared" si="7"/>
        <v>0</v>
      </c>
    </row>
    <row r="30" spans="2:19" ht="30" customHeight="1" x14ac:dyDescent="0.3">
      <c r="B30" s="195"/>
      <c r="C30" s="188" t="s">
        <v>292</v>
      </c>
      <c r="D30" s="90"/>
      <c r="E30" s="90">
        <v>1</v>
      </c>
      <c r="F30" s="92">
        <v>784000</v>
      </c>
      <c r="G30" s="90">
        <v>1</v>
      </c>
      <c r="H30" s="197">
        <v>1</v>
      </c>
      <c r="I30" s="93">
        <f t="shared" si="4"/>
        <v>784000</v>
      </c>
      <c r="J30" s="93">
        <f t="shared" si="5"/>
        <v>14518.518518518518</v>
      </c>
      <c r="K30" s="3"/>
      <c r="L30" s="89"/>
      <c r="M30" s="89"/>
      <c r="N30" s="89"/>
      <c r="O30" s="89">
        <f>J30*1</f>
        <v>14518.518518518518</v>
      </c>
      <c r="P30" s="137">
        <f t="shared" si="6"/>
        <v>14518.518518518518</v>
      </c>
      <c r="Q30" s="137"/>
      <c r="R30" s="137"/>
      <c r="S30" s="77">
        <f t="shared" si="7"/>
        <v>14518.518518518518</v>
      </c>
    </row>
    <row r="31" spans="2:19" x14ac:dyDescent="0.3">
      <c r="B31" s="195"/>
      <c r="C31" s="188" t="s">
        <v>293</v>
      </c>
      <c r="D31" s="91"/>
      <c r="E31" s="91">
        <v>1</v>
      </c>
      <c r="F31" s="144">
        <f>I90</f>
        <v>1838000</v>
      </c>
      <c r="G31" s="91">
        <v>1</v>
      </c>
      <c r="H31" s="91">
        <v>1</v>
      </c>
      <c r="I31" s="145">
        <f t="shared" si="4"/>
        <v>1838000</v>
      </c>
      <c r="J31" s="145">
        <f t="shared" si="5"/>
        <v>34037.037037037036</v>
      </c>
      <c r="K31" s="79"/>
      <c r="L31" s="147"/>
      <c r="M31" s="147"/>
      <c r="N31" s="147"/>
      <c r="O31" s="147">
        <f>J31*3</f>
        <v>102111.11111111111</v>
      </c>
      <c r="P31" s="137">
        <f t="shared" si="6"/>
        <v>102111.11111111111</v>
      </c>
      <c r="Q31" s="181">
        <f>J31*3</f>
        <v>102111.11111111111</v>
      </c>
      <c r="R31" s="181">
        <f>J31*3</f>
        <v>102111.11111111111</v>
      </c>
      <c r="S31" s="77">
        <f t="shared" si="7"/>
        <v>306333.33333333331</v>
      </c>
    </row>
    <row r="32" spans="2:19" x14ac:dyDescent="0.3">
      <c r="B32" s="195" t="s">
        <v>294</v>
      </c>
      <c r="C32" s="188" t="s">
        <v>576</v>
      </c>
      <c r="D32" s="90"/>
      <c r="E32" s="91">
        <v>1</v>
      </c>
      <c r="F32" s="92"/>
      <c r="G32" s="90">
        <v>1</v>
      </c>
      <c r="H32" s="90">
        <v>1</v>
      </c>
      <c r="I32" s="93">
        <f t="shared" si="4"/>
        <v>0</v>
      </c>
      <c r="J32" s="93">
        <f t="shared" si="5"/>
        <v>0</v>
      </c>
      <c r="K32" s="3"/>
      <c r="L32" s="89"/>
      <c r="M32" s="89"/>
      <c r="N32" s="89"/>
      <c r="O32" s="89"/>
      <c r="P32" s="137"/>
      <c r="Q32" s="137"/>
      <c r="R32" s="137"/>
      <c r="S32" s="77">
        <f>P32+Q32+R32</f>
        <v>0</v>
      </c>
    </row>
    <row r="33" spans="1:19" x14ac:dyDescent="0.3">
      <c r="B33" s="195"/>
      <c r="C33" s="188" t="s">
        <v>295</v>
      </c>
      <c r="D33" s="90"/>
      <c r="E33" s="91">
        <v>1</v>
      </c>
      <c r="F33" s="92">
        <f>I65</f>
        <v>2775000</v>
      </c>
      <c r="G33" s="90">
        <v>1</v>
      </c>
      <c r="H33" s="90">
        <v>1</v>
      </c>
      <c r="I33" s="93">
        <f t="shared" si="4"/>
        <v>2775000</v>
      </c>
      <c r="J33" s="93">
        <f t="shared" si="5"/>
        <v>51388.888888888891</v>
      </c>
      <c r="K33" s="3"/>
      <c r="L33" s="89"/>
      <c r="M33" s="89"/>
      <c r="N33" s="89">
        <f>J33</f>
        <v>51388.888888888891</v>
      </c>
      <c r="O33" s="89"/>
      <c r="P33" s="137">
        <f>L33+M33+N33+O33</f>
        <v>51388.888888888891</v>
      </c>
      <c r="Q33" s="137"/>
      <c r="R33" s="137"/>
      <c r="S33" s="77">
        <f>P33+Q33+R33</f>
        <v>51388.888888888891</v>
      </c>
    </row>
    <row r="34" spans="1:19" x14ac:dyDescent="0.3">
      <c r="B34" s="195"/>
      <c r="C34" s="188" t="s">
        <v>296</v>
      </c>
      <c r="D34" s="90"/>
      <c r="E34" s="91">
        <v>1</v>
      </c>
      <c r="F34" s="92">
        <f>I90</f>
        <v>1838000</v>
      </c>
      <c r="G34" s="90">
        <v>1</v>
      </c>
      <c r="H34" s="90">
        <v>1</v>
      </c>
      <c r="I34" s="93">
        <f t="shared" si="4"/>
        <v>1838000</v>
      </c>
      <c r="J34" s="93">
        <f t="shared" si="5"/>
        <v>34037.037037037036</v>
      </c>
      <c r="K34" s="3"/>
      <c r="L34" s="89"/>
      <c r="M34" s="211">
        <f>J34*3</f>
        <v>102111.11111111111</v>
      </c>
      <c r="N34" s="89">
        <f>J34*3</f>
        <v>102111.11111111111</v>
      </c>
      <c r="O34" s="211">
        <f>J34*3</f>
        <v>102111.11111111111</v>
      </c>
      <c r="P34" s="137">
        <f>L34+M34+N34+O34</f>
        <v>306333.33333333331</v>
      </c>
      <c r="Q34" s="181">
        <f>J34*9</f>
        <v>306333.33333333331</v>
      </c>
      <c r="R34" s="137"/>
      <c r="S34" s="77">
        <f>P34+Q34+R34</f>
        <v>612666.66666666663</v>
      </c>
    </row>
    <row r="35" spans="1:19" x14ac:dyDescent="0.3">
      <c r="B35" s="195" t="s">
        <v>297</v>
      </c>
      <c r="C35" s="188" t="s">
        <v>577</v>
      </c>
      <c r="D35" s="90"/>
      <c r="E35" s="91"/>
      <c r="F35" s="92"/>
      <c r="G35" s="90"/>
      <c r="H35" s="90"/>
      <c r="I35" s="93"/>
      <c r="J35" s="93"/>
      <c r="K35" s="3"/>
      <c r="L35" s="89"/>
      <c r="M35" s="89"/>
      <c r="N35" s="89"/>
      <c r="O35" s="89"/>
      <c r="P35" s="137">
        <f t="shared" ref="P35:P38" si="8">L35+M35+N35+O35</f>
        <v>0</v>
      </c>
      <c r="Q35" s="137"/>
      <c r="R35" s="137"/>
      <c r="S35" s="77">
        <f t="shared" ref="S35:S38" si="9">P35+Q35+R35</f>
        <v>0</v>
      </c>
    </row>
    <row r="36" spans="1:19" x14ac:dyDescent="0.3">
      <c r="B36" s="195"/>
      <c r="C36" s="188" t="s">
        <v>298</v>
      </c>
      <c r="D36" s="90"/>
      <c r="E36" s="91">
        <v>1</v>
      </c>
      <c r="F36" s="92">
        <f>I65</f>
        <v>2775000</v>
      </c>
      <c r="G36" s="90">
        <v>1</v>
      </c>
      <c r="H36" s="90">
        <v>1</v>
      </c>
      <c r="I36" s="93">
        <f>E36*F36*G36*H36</f>
        <v>2775000</v>
      </c>
      <c r="J36" s="93">
        <f t="shared" ref="J36:J38" si="10">I36/54</f>
        <v>51388.888888888891</v>
      </c>
      <c r="K36" s="3"/>
      <c r="L36" s="89"/>
      <c r="M36" s="89">
        <f>J36</f>
        <v>51388.888888888891</v>
      </c>
      <c r="N36" s="89"/>
      <c r="O36" s="89"/>
      <c r="P36" s="137">
        <f t="shared" si="8"/>
        <v>51388.888888888891</v>
      </c>
      <c r="Q36" s="137"/>
      <c r="R36" s="137"/>
      <c r="S36" s="77">
        <f t="shared" si="9"/>
        <v>51388.888888888891</v>
      </c>
    </row>
    <row r="37" spans="1:19" x14ac:dyDescent="0.3">
      <c r="B37" s="195"/>
      <c r="C37" s="188" t="s">
        <v>299</v>
      </c>
      <c r="D37" s="90"/>
      <c r="E37" s="91">
        <v>1</v>
      </c>
      <c r="F37" s="92">
        <f>I90</f>
        <v>1838000</v>
      </c>
      <c r="G37" s="90">
        <v>1</v>
      </c>
      <c r="H37" s="90">
        <v>1</v>
      </c>
      <c r="I37" s="93">
        <f>E37*F37*G37*H37</f>
        <v>1838000</v>
      </c>
      <c r="J37" s="93">
        <f t="shared" si="10"/>
        <v>34037.037037037036</v>
      </c>
      <c r="K37" s="3"/>
      <c r="L37" s="89"/>
      <c r="M37" s="211">
        <f>J37*3</f>
        <v>102111.11111111111</v>
      </c>
      <c r="N37" s="211">
        <f>J37*3</f>
        <v>102111.11111111111</v>
      </c>
      <c r="O37" s="211">
        <f>J37*3</f>
        <v>102111.11111111111</v>
      </c>
      <c r="P37" s="137">
        <f t="shared" si="8"/>
        <v>306333.33333333331</v>
      </c>
      <c r="Q37" s="181">
        <f>J37*9</f>
        <v>306333.33333333331</v>
      </c>
      <c r="R37" s="137"/>
      <c r="S37" s="77">
        <f t="shared" si="9"/>
        <v>612666.66666666663</v>
      </c>
    </row>
    <row r="38" spans="1:19" ht="57.6" x14ac:dyDescent="0.3">
      <c r="B38" s="212" t="s">
        <v>300</v>
      </c>
      <c r="C38" s="194" t="s">
        <v>578</v>
      </c>
      <c r="D38" s="90"/>
      <c r="E38" s="91">
        <v>1</v>
      </c>
      <c r="F38" s="92">
        <v>3200000</v>
      </c>
      <c r="G38" s="90">
        <v>1</v>
      </c>
      <c r="H38" s="90">
        <v>1</v>
      </c>
      <c r="I38" s="93">
        <f>E38*F38*G38*H38</f>
        <v>3200000</v>
      </c>
      <c r="J38" s="93">
        <f t="shared" si="10"/>
        <v>59259.259259259263</v>
      </c>
      <c r="K38" s="3"/>
      <c r="L38" s="89"/>
      <c r="M38" s="89"/>
      <c r="N38" s="89"/>
      <c r="O38" s="89">
        <f>J38</f>
        <v>59259.259259259263</v>
      </c>
      <c r="P38" s="137">
        <f t="shared" si="8"/>
        <v>59259.259259259263</v>
      </c>
      <c r="Q38" s="137">
        <f>J38</f>
        <v>59259.259259259263</v>
      </c>
      <c r="R38" s="137">
        <f>J38</f>
        <v>59259.259259259263</v>
      </c>
      <c r="S38" s="77">
        <f t="shared" si="9"/>
        <v>177777.77777777778</v>
      </c>
    </row>
    <row r="39" spans="1:19" s="97" customFormat="1" x14ac:dyDescent="0.3">
      <c r="B39" s="98"/>
      <c r="C39" s="98" t="s">
        <v>56</v>
      </c>
      <c r="D39" s="98"/>
      <c r="E39" s="98"/>
      <c r="F39" s="98"/>
      <c r="G39" s="98"/>
      <c r="H39" s="98"/>
      <c r="I39" s="99"/>
      <c r="J39" s="99"/>
      <c r="K39" s="98"/>
      <c r="L39" s="100">
        <f>L26+L27+L28+L29+L30+L31+L32+L33+L34+L35+L36+L37+L38</f>
        <v>0</v>
      </c>
      <c r="M39" s="100">
        <f t="shared" ref="M39:S39" si="11">M26+M27+M28+M29+M30+M31+M32+M33+M34+M35+M36+M37+M38</f>
        <v>307000</v>
      </c>
      <c r="N39" s="100">
        <f t="shared" si="11"/>
        <v>357722.22222222225</v>
      </c>
      <c r="O39" s="100">
        <f t="shared" si="11"/>
        <v>482222.22222222225</v>
      </c>
      <c r="P39" s="100">
        <f t="shared" si="11"/>
        <v>1146944.4444444445</v>
      </c>
      <c r="Q39" s="100">
        <f t="shared" si="11"/>
        <v>1182481.4814814816</v>
      </c>
      <c r="R39" s="100">
        <f t="shared" si="11"/>
        <v>161370.37037037036</v>
      </c>
      <c r="S39" s="100">
        <f t="shared" si="11"/>
        <v>2490796.2962962966</v>
      </c>
    </row>
    <row r="41" spans="1:19" x14ac:dyDescent="0.3">
      <c r="B41" s="783" t="s">
        <v>61</v>
      </c>
      <c r="C41" s="783"/>
      <c r="D41" s="783"/>
      <c r="E41" s="783"/>
      <c r="F41" s="783"/>
      <c r="G41" s="783"/>
      <c r="H41" s="783"/>
      <c r="I41" s="783"/>
      <c r="J41" s="783"/>
    </row>
    <row r="43" spans="1:19" x14ac:dyDescent="0.3">
      <c r="A43" s="772" t="s">
        <v>301</v>
      </c>
      <c r="B43" s="773"/>
      <c r="C43" s="773"/>
      <c r="D43" s="773"/>
      <c r="E43" s="773"/>
      <c r="F43" s="773"/>
      <c r="G43" s="773"/>
      <c r="H43" s="773"/>
      <c r="I43" s="773"/>
      <c r="J43" s="773"/>
    </row>
    <row r="44" spans="1:19" x14ac:dyDescent="0.3">
      <c r="A44" s="26"/>
      <c r="B44" s="26"/>
      <c r="C44" s="26" t="s">
        <v>4</v>
      </c>
      <c r="D44" s="26" t="s">
        <v>79</v>
      </c>
      <c r="E44" s="26" t="s">
        <v>80</v>
      </c>
      <c r="F44" s="26" t="s">
        <v>50</v>
      </c>
      <c r="G44" s="26" t="s">
        <v>57</v>
      </c>
      <c r="H44" s="27" t="s">
        <v>53</v>
      </c>
      <c r="I44" s="28" t="s">
        <v>65</v>
      </c>
      <c r="J44" s="28" t="s">
        <v>81</v>
      </c>
    </row>
    <row r="45" spans="1:19" x14ac:dyDescent="0.3">
      <c r="A45" s="774" t="s">
        <v>169</v>
      </c>
      <c r="B45" s="775"/>
      <c r="C45" s="775"/>
      <c r="D45" s="776"/>
      <c r="E45" s="107"/>
      <c r="F45" s="107"/>
      <c r="G45" s="107"/>
      <c r="H45" s="108"/>
      <c r="I45" s="107"/>
      <c r="J45" s="107"/>
    </row>
    <row r="46" spans="1:19" x14ac:dyDescent="0.3">
      <c r="A46" s="3">
        <v>1</v>
      </c>
      <c r="B46" s="3" t="s">
        <v>170</v>
      </c>
      <c r="C46" s="3"/>
      <c r="D46" s="3"/>
      <c r="E46" s="3"/>
      <c r="F46" s="3"/>
      <c r="G46" s="3"/>
      <c r="H46" s="16"/>
      <c r="I46" s="3"/>
      <c r="J46" s="3"/>
    </row>
    <row r="47" spans="1:19" x14ac:dyDescent="0.3">
      <c r="A47" s="3"/>
      <c r="B47" s="3" t="s">
        <v>84</v>
      </c>
      <c r="C47" s="3"/>
      <c r="D47" s="3" t="s">
        <v>85</v>
      </c>
      <c r="E47" s="3">
        <v>3</v>
      </c>
      <c r="F47" s="111">
        <v>15000</v>
      </c>
      <c r="G47" s="3">
        <v>4</v>
      </c>
      <c r="H47" s="16">
        <v>1</v>
      </c>
      <c r="I47" s="24">
        <f>E47*F47*G47*H47</f>
        <v>180000</v>
      </c>
      <c r="J47" s="112">
        <f>I47/54</f>
        <v>3333.3333333333335</v>
      </c>
    </row>
    <row r="48" spans="1:19" x14ac:dyDescent="0.3">
      <c r="A48" s="3"/>
      <c r="B48" s="3" t="s">
        <v>86</v>
      </c>
      <c r="C48" s="3" t="s">
        <v>87</v>
      </c>
      <c r="D48" s="3"/>
      <c r="E48" s="3"/>
      <c r="F48" s="111"/>
      <c r="G48" s="3"/>
      <c r="H48" s="16"/>
      <c r="I48" s="3"/>
      <c r="J48" s="112">
        <f t="shared" ref="J48:J52" si="12">I48/54</f>
        <v>0</v>
      </c>
    </row>
    <row r="49" spans="1:10" x14ac:dyDescent="0.3">
      <c r="A49" s="3"/>
      <c r="B49" s="3"/>
      <c r="C49" s="3" t="s">
        <v>88</v>
      </c>
      <c r="D49" s="3"/>
      <c r="E49" s="79">
        <v>3</v>
      </c>
      <c r="F49" s="111">
        <v>20000</v>
      </c>
      <c r="G49" s="3">
        <v>1</v>
      </c>
      <c r="H49" s="16">
        <v>1</v>
      </c>
      <c r="I49" s="24">
        <f>E49*F49*G49*H49</f>
        <v>60000</v>
      </c>
      <c r="J49" s="112">
        <f t="shared" si="12"/>
        <v>1111.1111111111111</v>
      </c>
    </row>
    <row r="50" spans="1:10" x14ac:dyDescent="0.3">
      <c r="A50" s="3"/>
      <c r="B50" s="3"/>
      <c r="C50" s="3" t="s">
        <v>89</v>
      </c>
      <c r="D50" s="3"/>
      <c r="E50" s="79">
        <v>3</v>
      </c>
      <c r="F50" s="111">
        <v>2500</v>
      </c>
      <c r="G50" s="3">
        <v>4</v>
      </c>
      <c r="H50" s="16">
        <v>1</v>
      </c>
      <c r="I50" s="24">
        <f>E50*F50*G50*H50</f>
        <v>30000</v>
      </c>
      <c r="J50" s="112">
        <f t="shared" si="12"/>
        <v>555.55555555555554</v>
      </c>
    </row>
    <row r="51" spans="1:10" x14ac:dyDescent="0.3">
      <c r="A51" s="3"/>
      <c r="B51" s="3"/>
      <c r="C51" s="3" t="s">
        <v>90</v>
      </c>
      <c r="D51" s="3"/>
      <c r="E51" s="79">
        <v>3</v>
      </c>
      <c r="F51" s="111">
        <v>10000</v>
      </c>
      <c r="G51" s="3">
        <v>4</v>
      </c>
      <c r="H51" s="16">
        <v>1</v>
      </c>
      <c r="I51" s="24">
        <f>E51*F51*G51*H51</f>
        <v>120000</v>
      </c>
      <c r="J51" s="112">
        <f t="shared" si="12"/>
        <v>2222.2222222222222</v>
      </c>
    </row>
    <row r="52" spans="1:10" x14ac:dyDescent="0.3">
      <c r="A52" s="3"/>
      <c r="B52" s="3"/>
      <c r="C52" s="3"/>
      <c r="D52" s="82" t="s">
        <v>10</v>
      </c>
      <c r="E52" s="82"/>
      <c r="F52" s="122"/>
      <c r="G52" s="82"/>
      <c r="H52" s="123"/>
      <c r="I52" s="121">
        <f>SUM(I47:I51)</f>
        <v>390000</v>
      </c>
      <c r="J52" s="121">
        <f t="shared" si="12"/>
        <v>7222.2222222222226</v>
      </c>
    </row>
    <row r="53" spans="1:10" x14ac:dyDescent="0.3">
      <c r="A53" s="96"/>
      <c r="B53" s="96"/>
      <c r="C53" s="96"/>
      <c r="D53" s="96"/>
      <c r="E53" s="96"/>
      <c r="F53" s="124"/>
      <c r="G53" s="96"/>
      <c r="H53" s="125"/>
      <c r="I53" s="126"/>
      <c r="J53" s="96"/>
    </row>
    <row r="54" spans="1:10" x14ac:dyDescent="0.3">
      <c r="A54" s="769" t="s">
        <v>91</v>
      </c>
      <c r="B54" s="770"/>
      <c r="C54" s="770"/>
      <c r="D54" s="771"/>
      <c r="E54" s="127"/>
      <c r="F54" s="128"/>
      <c r="G54" s="127"/>
      <c r="H54" s="129"/>
      <c r="I54" s="127"/>
      <c r="J54" s="127"/>
    </row>
    <row r="55" spans="1:10" x14ac:dyDescent="0.3">
      <c r="A55" s="3"/>
      <c r="B55" s="3" t="s">
        <v>92</v>
      </c>
      <c r="C55" s="3" t="s">
        <v>93</v>
      </c>
      <c r="D55" s="3"/>
      <c r="E55" s="3">
        <v>40</v>
      </c>
      <c r="F55" s="111">
        <v>2000</v>
      </c>
      <c r="G55" s="3">
        <v>3</v>
      </c>
      <c r="H55" s="16">
        <v>1</v>
      </c>
      <c r="I55" s="24">
        <f t="shared" ref="I55:I62" si="13">E55*F55*G55*H55</f>
        <v>240000</v>
      </c>
      <c r="J55" s="24">
        <f>I55/54</f>
        <v>4444.4444444444443</v>
      </c>
    </row>
    <row r="56" spans="1:10" x14ac:dyDescent="0.3">
      <c r="A56" s="3"/>
      <c r="B56" s="3" t="s">
        <v>86</v>
      </c>
      <c r="C56" s="3" t="s">
        <v>94</v>
      </c>
      <c r="D56" s="3"/>
      <c r="E56" s="3">
        <v>30</v>
      </c>
      <c r="F56" s="111">
        <v>20000</v>
      </c>
      <c r="G56" s="3">
        <v>1</v>
      </c>
      <c r="H56" s="16">
        <v>1</v>
      </c>
      <c r="I56" s="24">
        <f t="shared" si="13"/>
        <v>600000</v>
      </c>
      <c r="J56" s="24">
        <f t="shared" ref="J56:J62" si="14">I56/54</f>
        <v>11111.111111111111</v>
      </c>
    </row>
    <row r="57" spans="1:10" x14ac:dyDescent="0.3">
      <c r="A57" s="3"/>
      <c r="B57" s="3" t="s">
        <v>95</v>
      </c>
      <c r="C57" s="3" t="s">
        <v>96</v>
      </c>
      <c r="D57" s="3"/>
      <c r="E57" s="3">
        <v>30</v>
      </c>
      <c r="F57" s="111">
        <v>10000</v>
      </c>
      <c r="G57" s="3">
        <v>3</v>
      </c>
      <c r="H57" s="16">
        <v>1</v>
      </c>
      <c r="I57" s="24">
        <f t="shared" si="13"/>
        <v>900000</v>
      </c>
      <c r="J57" s="24">
        <f t="shared" si="14"/>
        <v>16666.666666666668</v>
      </c>
    </row>
    <row r="58" spans="1:10" x14ac:dyDescent="0.3">
      <c r="A58" s="3"/>
      <c r="B58" s="3" t="s">
        <v>97</v>
      </c>
      <c r="C58" s="3" t="s">
        <v>171</v>
      </c>
      <c r="D58" s="3" t="s">
        <v>172</v>
      </c>
      <c r="E58" s="3">
        <v>40</v>
      </c>
      <c r="F58" s="111">
        <v>2500</v>
      </c>
      <c r="G58" s="3">
        <v>3</v>
      </c>
      <c r="H58" s="16">
        <v>1</v>
      </c>
      <c r="I58" s="24">
        <f t="shared" si="13"/>
        <v>300000</v>
      </c>
      <c r="J58" s="24">
        <f t="shared" si="14"/>
        <v>5555.5555555555557</v>
      </c>
    </row>
    <row r="59" spans="1:10" x14ac:dyDescent="0.3">
      <c r="A59" s="3"/>
      <c r="B59" s="3" t="s">
        <v>99</v>
      </c>
      <c r="C59" s="3" t="s">
        <v>100</v>
      </c>
      <c r="D59" s="3"/>
      <c r="E59" s="3">
        <v>1</v>
      </c>
      <c r="F59" s="111">
        <v>45000</v>
      </c>
      <c r="G59" s="3">
        <v>3</v>
      </c>
      <c r="H59" s="16">
        <v>1</v>
      </c>
      <c r="I59" s="24">
        <f t="shared" si="13"/>
        <v>135000</v>
      </c>
      <c r="J59" s="24">
        <f t="shared" si="14"/>
        <v>2500</v>
      </c>
    </row>
    <row r="60" spans="1:10" x14ac:dyDescent="0.3">
      <c r="A60" s="3"/>
      <c r="B60" s="3" t="s">
        <v>101</v>
      </c>
      <c r="C60" s="3" t="s">
        <v>102</v>
      </c>
      <c r="D60" s="3"/>
      <c r="E60" s="3">
        <v>1</v>
      </c>
      <c r="F60" s="111">
        <v>25000</v>
      </c>
      <c r="G60" s="3">
        <v>3</v>
      </c>
      <c r="H60" s="16">
        <v>1</v>
      </c>
      <c r="I60" s="24">
        <f t="shared" si="13"/>
        <v>75000</v>
      </c>
      <c r="J60" s="24">
        <f t="shared" si="14"/>
        <v>1388.8888888888889</v>
      </c>
    </row>
    <row r="61" spans="1:10" x14ac:dyDescent="0.3">
      <c r="A61" s="3"/>
      <c r="B61" s="3" t="s">
        <v>103</v>
      </c>
      <c r="C61" s="3" t="s">
        <v>104</v>
      </c>
      <c r="D61" s="3" t="s">
        <v>105</v>
      </c>
      <c r="E61" s="3">
        <v>1</v>
      </c>
      <c r="F61" s="111">
        <v>25000</v>
      </c>
      <c r="G61" s="3">
        <v>3</v>
      </c>
      <c r="H61" s="16">
        <v>1</v>
      </c>
      <c r="I61" s="24">
        <f t="shared" si="13"/>
        <v>75000</v>
      </c>
      <c r="J61" s="24">
        <f t="shared" si="14"/>
        <v>1388.8888888888889</v>
      </c>
    </row>
    <row r="62" spans="1:10" x14ac:dyDescent="0.3">
      <c r="A62" s="3"/>
      <c r="B62" s="3" t="s">
        <v>106</v>
      </c>
      <c r="C62" s="3" t="s">
        <v>107</v>
      </c>
      <c r="D62" s="3"/>
      <c r="E62" s="3">
        <v>40</v>
      </c>
      <c r="F62" s="111">
        <v>500</v>
      </c>
      <c r="G62" s="3">
        <v>3</v>
      </c>
      <c r="H62" s="16">
        <v>1</v>
      </c>
      <c r="I62" s="24">
        <f t="shared" si="13"/>
        <v>60000</v>
      </c>
      <c r="J62" s="24">
        <f t="shared" si="14"/>
        <v>1111.1111111111111</v>
      </c>
    </row>
    <row r="63" spans="1:10" x14ac:dyDescent="0.3">
      <c r="A63" s="3"/>
      <c r="B63" s="3"/>
      <c r="C63" s="3"/>
      <c r="D63" s="82" t="s">
        <v>10</v>
      </c>
      <c r="E63" s="82"/>
      <c r="F63" s="122"/>
      <c r="G63" s="82"/>
      <c r="H63" s="123"/>
      <c r="I63" s="121">
        <f>SUM(I55:I62)</f>
        <v>2385000</v>
      </c>
      <c r="J63" s="121">
        <f>SUM(J55:J62)</f>
        <v>44166.666666666672</v>
      </c>
    </row>
    <row r="64" spans="1:10" x14ac:dyDescent="0.3">
      <c r="A64" s="3"/>
      <c r="B64" s="3"/>
      <c r="C64" s="3"/>
      <c r="D64" s="3"/>
      <c r="E64" s="3"/>
      <c r="F64" s="3"/>
      <c r="G64" s="3"/>
      <c r="H64" s="16"/>
      <c r="I64" s="3"/>
      <c r="J64" s="3"/>
    </row>
    <row r="65" spans="1:10" x14ac:dyDescent="0.3">
      <c r="A65" s="3"/>
      <c r="B65" s="3"/>
      <c r="C65" s="3"/>
      <c r="D65" s="83" t="s">
        <v>19</v>
      </c>
      <c r="E65" s="83"/>
      <c r="F65" s="83"/>
      <c r="G65" s="83"/>
      <c r="H65" s="131"/>
      <c r="I65" s="132">
        <f>I52+I63</f>
        <v>2775000</v>
      </c>
      <c r="J65" s="132">
        <f>J52+J63</f>
        <v>51388.888888888891</v>
      </c>
    </row>
    <row r="68" spans="1:10" x14ac:dyDescent="0.3">
      <c r="A68" s="772" t="s">
        <v>302</v>
      </c>
      <c r="B68" s="773"/>
      <c r="C68" s="773"/>
      <c r="D68" s="773"/>
      <c r="E68" s="773"/>
      <c r="F68" s="773"/>
      <c r="G68" s="773"/>
      <c r="H68" s="773"/>
      <c r="I68" s="773"/>
      <c r="J68" s="773"/>
    </row>
    <row r="69" spans="1:10" x14ac:dyDescent="0.3">
      <c r="A69" s="26"/>
      <c r="B69" s="26"/>
      <c r="C69" s="26" t="s">
        <v>4</v>
      </c>
      <c r="D69" s="26" t="s">
        <v>79</v>
      </c>
      <c r="E69" s="26" t="s">
        <v>80</v>
      </c>
      <c r="F69" s="26" t="s">
        <v>50</v>
      </c>
      <c r="G69" s="26" t="s">
        <v>57</v>
      </c>
      <c r="H69" s="27" t="s">
        <v>53</v>
      </c>
      <c r="I69" s="28" t="s">
        <v>65</v>
      </c>
      <c r="J69" s="28" t="s">
        <v>81</v>
      </c>
    </row>
    <row r="70" spans="1:10" x14ac:dyDescent="0.3">
      <c r="A70" s="774"/>
      <c r="B70" s="775"/>
      <c r="C70" s="775"/>
      <c r="D70" s="776"/>
      <c r="E70" s="107"/>
      <c r="F70" s="107"/>
      <c r="G70" s="107"/>
      <c r="H70" s="108"/>
      <c r="I70" s="107"/>
      <c r="J70" s="107"/>
    </row>
    <row r="71" spans="1:10" x14ac:dyDescent="0.3">
      <c r="A71" s="3">
        <v>1</v>
      </c>
      <c r="B71" s="3" t="s">
        <v>108</v>
      </c>
      <c r="C71" s="3"/>
      <c r="D71" s="3"/>
      <c r="E71" s="3"/>
      <c r="F71" s="3"/>
      <c r="G71" s="3"/>
      <c r="H71" s="16"/>
      <c r="I71" s="3"/>
      <c r="J71" s="3"/>
    </row>
    <row r="72" spans="1:10" x14ac:dyDescent="0.3">
      <c r="A72" s="3"/>
      <c r="B72" s="3" t="s">
        <v>84</v>
      </c>
      <c r="C72" s="3"/>
      <c r="D72" s="3" t="s">
        <v>85</v>
      </c>
      <c r="E72" s="3">
        <v>2</v>
      </c>
      <c r="F72" s="111">
        <v>15000</v>
      </c>
      <c r="G72" s="3">
        <v>4</v>
      </c>
      <c r="H72" s="16">
        <v>1</v>
      </c>
      <c r="I72" s="24">
        <f>E72*F72*G72*H72</f>
        <v>120000</v>
      </c>
      <c r="J72" s="112">
        <f>I72/54</f>
        <v>2222.2222222222222</v>
      </c>
    </row>
    <row r="73" spans="1:10" x14ac:dyDescent="0.3">
      <c r="A73" s="3"/>
      <c r="B73" s="3" t="s">
        <v>86</v>
      </c>
      <c r="C73" s="3" t="s">
        <v>87</v>
      </c>
      <c r="D73" s="3"/>
      <c r="E73" s="3"/>
      <c r="F73" s="111"/>
      <c r="G73" s="3"/>
      <c r="H73" s="16"/>
      <c r="I73" s="3"/>
      <c r="J73" s="112">
        <f t="shared" ref="J73:J76" si="15">I73/54</f>
        <v>0</v>
      </c>
    </row>
    <row r="74" spans="1:10" x14ac:dyDescent="0.3">
      <c r="A74" s="3"/>
      <c r="B74" s="3"/>
      <c r="C74" s="3" t="s">
        <v>88</v>
      </c>
      <c r="D74" s="3"/>
      <c r="E74" s="79">
        <v>2</v>
      </c>
      <c r="F74" s="111">
        <v>20000</v>
      </c>
      <c r="G74" s="3">
        <v>1</v>
      </c>
      <c r="H74" s="16">
        <v>1</v>
      </c>
      <c r="I74" s="24">
        <f>E74*F74*G74*H74</f>
        <v>40000</v>
      </c>
      <c r="J74" s="112">
        <f t="shared" si="15"/>
        <v>740.74074074074076</v>
      </c>
    </row>
    <row r="75" spans="1:10" x14ac:dyDescent="0.3">
      <c r="A75" s="3"/>
      <c r="B75" s="3"/>
      <c r="C75" s="3" t="s">
        <v>89</v>
      </c>
      <c r="D75" s="3"/>
      <c r="E75" s="79">
        <v>2</v>
      </c>
      <c r="F75" s="111">
        <v>2500</v>
      </c>
      <c r="G75" s="3">
        <v>4</v>
      </c>
      <c r="H75" s="16">
        <v>1</v>
      </c>
      <c r="I75" s="24">
        <f>E75*F75*G75*H75</f>
        <v>20000</v>
      </c>
      <c r="J75" s="112">
        <f t="shared" si="15"/>
        <v>370.37037037037038</v>
      </c>
    </row>
    <row r="76" spans="1:10" x14ac:dyDescent="0.3">
      <c r="A76" s="3"/>
      <c r="B76" s="3"/>
      <c r="C76" s="3" t="s">
        <v>90</v>
      </c>
      <c r="D76" s="3"/>
      <c r="E76" s="79">
        <v>2</v>
      </c>
      <c r="F76" s="111">
        <v>10000</v>
      </c>
      <c r="G76" s="3">
        <v>4</v>
      </c>
      <c r="H76" s="16">
        <v>1</v>
      </c>
      <c r="I76" s="24">
        <f>E76*F76*G76*H76</f>
        <v>80000</v>
      </c>
      <c r="J76" s="112">
        <f t="shared" si="15"/>
        <v>1481.4814814814815</v>
      </c>
    </row>
    <row r="77" spans="1:10" x14ac:dyDescent="0.3">
      <c r="A77" s="3"/>
      <c r="B77" s="3"/>
      <c r="C77" s="3"/>
      <c r="D77" s="82" t="s">
        <v>10</v>
      </c>
      <c r="E77" s="82"/>
      <c r="F77" s="122"/>
      <c r="G77" s="82"/>
      <c r="H77" s="123"/>
      <c r="I77" s="121">
        <f>SUM(I72:I76)</f>
        <v>260000</v>
      </c>
      <c r="J77" s="121">
        <f>SUM(J72:J76)</f>
        <v>4814.8148148148148</v>
      </c>
    </row>
    <row r="78" spans="1:10" x14ac:dyDescent="0.3">
      <c r="A78" s="96"/>
      <c r="B78" s="96"/>
      <c r="C78" s="96"/>
      <c r="D78" s="96"/>
      <c r="E78" s="96"/>
      <c r="F78" s="124"/>
      <c r="G78" s="96"/>
      <c r="H78" s="125"/>
      <c r="I78" s="126"/>
      <c r="J78" s="96"/>
    </row>
    <row r="79" spans="1:10" x14ac:dyDescent="0.3">
      <c r="A79" s="769" t="s">
        <v>91</v>
      </c>
      <c r="B79" s="770"/>
      <c r="C79" s="770"/>
      <c r="D79" s="771"/>
      <c r="E79" s="127"/>
      <c r="F79" s="128"/>
      <c r="G79" s="127"/>
      <c r="H79" s="129"/>
      <c r="I79" s="127"/>
      <c r="J79" s="127"/>
    </row>
    <row r="80" spans="1:10" x14ac:dyDescent="0.3">
      <c r="A80" s="3"/>
      <c r="B80" s="3" t="s">
        <v>92</v>
      </c>
      <c r="C80" s="3" t="s">
        <v>93</v>
      </c>
      <c r="D80" s="3"/>
      <c r="E80" s="3">
        <v>40</v>
      </c>
      <c r="F80" s="111">
        <v>1000</v>
      </c>
      <c r="G80" s="3">
        <v>3</v>
      </c>
      <c r="H80" s="16">
        <v>1</v>
      </c>
      <c r="I80" s="24">
        <f t="shared" ref="I80:I87" si="16">E80*F80*G80*H80</f>
        <v>120000</v>
      </c>
      <c r="J80" s="133">
        <f>I80/54</f>
        <v>2222.2222222222222</v>
      </c>
    </row>
    <row r="81" spans="1:10" x14ac:dyDescent="0.3">
      <c r="A81" s="3"/>
      <c r="B81" s="3" t="s">
        <v>86</v>
      </c>
      <c r="C81" s="3" t="s">
        <v>94</v>
      </c>
      <c r="D81" s="3" t="s">
        <v>110</v>
      </c>
      <c r="E81" s="3">
        <v>30</v>
      </c>
      <c r="F81" s="111">
        <v>5000</v>
      </c>
      <c r="G81" s="3">
        <v>1</v>
      </c>
      <c r="H81" s="16">
        <v>1</v>
      </c>
      <c r="I81" s="24">
        <f t="shared" si="16"/>
        <v>150000</v>
      </c>
      <c r="J81" s="133">
        <f t="shared" ref="J81:J88" si="17">I81/54</f>
        <v>2777.7777777777778</v>
      </c>
    </row>
    <row r="82" spans="1:10" x14ac:dyDescent="0.3">
      <c r="A82" s="3"/>
      <c r="B82" s="3" t="s">
        <v>95</v>
      </c>
      <c r="C82" s="3" t="s">
        <v>96</v>
      </c>
      <c r="D82" s="3" t="s">
        <v>110</v>
      </c>
      <c r="E82" s="3">
        <v>30</v>
      </c>
      <c r="F82" s="111">
        <v>10000</v>
      </c>
      <c r="G82" s="3">
        <v>3</v>
      </c>
      <c r="H82" s="16">
        <v>1</v>
      </c>
      <c r="I82" s="24">
        <f t="shared" si="16"/>
        <v>900000</v>
      </c>
      <c r="J82" s="133">
        <f t="shared" si="17"/>
        <v>16666.666666666668</v>
      </c>
    </row>
    <row r="83" spans="1:10" x14ac:dyDescent="0.3">
      <c r="A83" s="3"/>
      <c r="B83" s="3" t="s">
        <v>97</v>
      </c>
      <c r="C83" s="3" t="s">
        <v>171</v>
      </c>
      <c r="D83" s="3" t="s">
        <v>110</v>
      </c>
      <c r="E83" s="3">
        <v>40</v>
      </c>
      <c r="F83" s="111">
        <v>1500</v>
      </c>
      <c r="G83" s="3">
        <v>3</v>
      </c>
      <c r="H83" s="16">
        <v>1</v>
      </c>
      <c r="I83" s="24">
        <f t="shared" si="16"/>
        <v>180000</v>
      </c>
      <c r="J83" s="133">
        <f t="shared" si="17"/>
        <v>3333.3333333333335</v>
      </c>
    </row>
    <row r="84" spans="1:10" x14ac:dyDescent="0.3">
      <c r="A84" s="3"/>
      <c r="B84" s="3" t="s">
        <v>99</v>
      </c>
      <c r="C84" s="3" t="s">
        <v>100</v>
      </c>
      <c r="D84" s="3" t="s">
        <v>112</v>
      </c>
      <c r="E84" s="3">
        <v>1</v>
      </c>
      <c r="F84" s="111">
        <v>10000</v>
      </c>
      <c r="G84" s="3">
        <v>3</v>
      </c>
      <c r="H84" s="16">
        <v>1</v>
      </c>
      <c r="I84" s="24">
        <f t="shared" si="16"/>
        <v>30000</v>
      </c>
      <c r="J84" s="133">
        <f t="shared" si="17"/>
        <v>555.55555555555554</v>
      </c>
    </row>
    <row r="85" spans="1:10" x14ac:dyDescent="0.3">
      <c r="A85" s="3"/>
      <c r="B85" s="3" t="s">
        <v>101</v>
      </c>
      <c r="C85" s="3" t="s">
        <v>102</v>
      </c>
      <c r="D85" s="3"/>
      <c r="E85" s="3">
        <v>1</v>
      </c>
      <c r="F85" s="111">
        <v>25000</v>
      </c>
      <c r="G85" s="3">
        <v>3</v>
      </c>
      <c r="H85" s="16">
        <v>1</v>
      </c>
      <c r="I85" s="24">
        <f t="shared" si="16"/>
        <v>75000</v>
      </c>
      <c r="J85" s="133">
        <f t="shared" si="17"/>
        <v>1388.8888888888889</v>
      </c>
    </row>
    <row r="86" spans="1:10" x14ac:dyDescent="0.3">
      <c r="A86" s="3"/>
      <c r="B86" s="3" t="s">
        <v>103</v>
      </c>
      <c r="C86" s="3" t="s">
        <v>104</v>
      </c>
      <c r="D86" s="3" t="s">
        <v>105</v>
      </c>
      <c r="E86" s="3">
        <v>1</v>
      </c>
      <c r="F86" s="111">
        <v>25000</v>
      </c>
      <c r="G86" s="3">
        <v>3</v>
      </c>
      <c r="H86" s="16">
        <v>1</v>
      </c>
      <c r="I86" s="24">
        <f t="shared" si="16"/>
        <v>75000</v>
      </c>
      <c r="J86" s="133">
        <f t="shared" si="17"/>
        <v>1388.8888888888889</v>
      </c>
    </row>
    <row r="87" spans="1:10" x14ac:dyDescent="0.3">
      <c r="A87" s="3"/>
      <c r="B87" s="3" t="s">
        <v>106</v>
      </c>
      <c r="C87" s="3" t="s">
        <v>107</v>
      </c>
      <c r="D87" s="3"/>
      <c r="E87" s="3">
        <v>40</v>
      </c>
      <c r="F87" s="111">
        <v>400</v>
      </c>
      <c r="G87" s="3">
        <v>3</v>
      </c>
      <c r="H87" s="16">
        <v>1</v>
      </c>
      <c r="I87" s="24">
        <f t="shared" si="16"/>
        <v>48000</v>
      </c>
      <c r="J87" s="133">
        <f t="shared" si="17"/>
        <v>888.88888888888891</v>
      </c>
    </row>
    <row r="88" spans="1:10" x14ac:dyDescent="0.3">
      <c r="A88" s="3"/>
      <c r="B88" s="3"/>
      <c r="C88" s="3"/>
      <c r="D88" s="82" t="s">
        <v>10</v>
      </c>
      <c r="E88" s="82"/>
      <c r="F88" s="122"/>
      <c r="G88" s="82"/>
      <c r="H88" s="123"/>
      <c r="I88" s="121">
        <f>SUM(I80:I87)</f>
        <v>1578000</v>
      </c>
      <c r="J88" s="121">
        <f t="shared" si="17"/>
        <v>29222.222222222223</v>
      </c>
    </row>
    <row r="89" spans="1:10" x14ac:dyDescent="0.3">
      <c r="A89" s="3"/>
      <c r="B89" s="3"/>
      <c r="C89" s="3"/>
      <c r="D89" s="3"/>
      <c r="E89" s="3"/>
      <c r="F89" s="3"/>
      <c r="G89" s="3"/>
      <c r="H89" s="16"/>
      <c r="I89" s="3"/>
      <c r="J89" s="3"/>
    </row>
    <row r="90" spans="1:10" x14ac:dyDescent="0.3">
      <c r="A90" s="3"/>
      <c r="B90" s="3"/>
      <c r="C90" s="3"/>
      <c r="D90" s="83" t="s">
        <v>19</v>
      </c>
      <c r="E90" s="83"/>
      <c r="F90" s="83"/>
      <c r="G90" s="83"/>
      <c r="H90" s="131"/>
      <c r="I90" s="132">
        <f>I77+I88</f>
        <v>1838000</v>
      </c>
      <c r="J90" s="132">
        <f>J77+J88</f>
        <v>34037.037037037036</v>
      </c>
    </row>
  </sheetData>
  <mergeCells count="25">
    <mergeCell ref="C11:J11"/>
    <mergeCell ref="B6:J6"/>
    <mergeCell ref="L7:O7"/>
    <mergeCell ref="C8:J8"/>
    <mergeCell ref="C9:J9"/>
    <mergeCell ref="C10:J10"/>
    <mergeCell ref="C17:J17"/>
    <mergeCell ref="C18:J18"/>
    <mergeCell ref="C19:J19"/>
    <mergeCell ref="C20:J20"/>
    <mergeCell ref="C21:J21"/>
    <mergeCell ref="C12:J12"/>
    <mergeCell ref="C13:J13"/>
    <mergeCell ref="C14:J14"/>
    <mergeCell ref="C15:J15"/>
    <mergeCell ref="C16:J16"/>
    <mergeCell ref="L23:O23"/>
    <mergeCell ref="A79:D79"/>
    <mergeCell ref="B41:J41"/>
    <mergeCell ref="A43:J43"/>
    <mergeCell ref="A45:D45"/>
    <mergeCell ref="A54:D54"/>
    <mergeCell ref="A68:J68"/>
    <mergeCell ref="A70:D70"/>
    <mergeCell ref="B24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R53"/>
  <sheetViews>
    <sheetView topLeftCell="A28" workbookViewId="0">
      <selection activeCell="E50" sqref="E50"/>
    </sheetView>
  </sheetViews>
  <sheetFormatPr defaultColWidth="12.44140625" defaultRowHeight="14.4" x14ac:dyDescent="0.3"/>
  <cols>
    <col min="1" max="1" width="2.44140625" style="216" customWidth="1"/>
    <col min="2" max="2" width="11.44140625" style="216" customWidth="1"/>
    <col min="3" max="3" width="66.44140625" style="214" customWidth="1"/>
    <col min="4" max="4" width="16.33203125" style="214" customWidth="1"/>
    <col min="5" max="5" width="9.33203125" style="214" customWidth="1"/>
    <col min="6" max="8" width="9.109375" style="214" customWidth="1"/>
    <col min="9" max="11" width="7.44140625" style="216" customWidth="1"/>
    <col min="12" max="12" width="8.109375" style="216" bestFit="1" customWidth="1"/>
    <col min="13" max="16384" width="12.44140625" style="216"/>
  </cols>
  <sheetData>
    <row r="1" spans="2:18" x14ac:dyDescent="0.3">
      <c r="B1" s="213"/>
    </row>
    <row r="2" spans="2:18" x14ac:dyDescent="0.3">
      <c r="B2" s="213"/>
    </row>
    <row r="3" spans="2:18" x14ac:dyDescent="0.3">
      <c r="B3" s="213"/>
      <c r="C3" s="217" t="s">
        <v>477</v>
      </c>
      <c r="D3" s="217"/>
      <c r="E3" s="217"/>
      <c r="F3" s="217"/>
      <c r="G3" s="217"/>
      <c r="H3" s="217"/>
    </row>
    <row r="4" spans="2:18" x14ac:dyDescent="0.3">
      <c r="B4" s="213"/>
      <c r="C4" s="217" t="s">
        <v>1</v>
      </c>
      <c r="D4" s="217"/>
      <c r="E4" s="217"/>
      <c r="F4" s="217"/>
      <c r="G4" s="217"/>
      <c r="H4" s="217"/>
    </row>
    <row r="5" spans="2:18" x14ac:dyDescent="0.3">
      <c r="B5" s="213"/>
      <c r="C5" s="217" t="s">
        <v>2</v>
      </c>
      <c r="D5" s="217"/>
      <c r="E5" s="217"/>
      <c r="F5" s="217"/>
      <c r="G5" s="217"/>
      <c r="H5" s="217"/>
    </row>
    <row r="6" spans="2:18" x14ac:dyDescent="0.3">
      <c r="B6" s="213"/>
      <c r="C6" s="217"/>
      <c r="D6" s="217"/>
      <c r="E6" s="217"/>
      <c r="F6" s="217"/>
      <c r="G6" s="217"/>
      <c r="H6" s="217"/>
    </row>
    <row r="7" spans="2:18" x14ac:dyDescent="0.3">
      <c r="B7" s="405"/>
      <c r="C7" s="406"/>
      <c r="D7" s="406"/>
      <c r="E7" s="672" t="s">
        <v>26</v>
      </c>
      <c r="F7" s="672"/>
      <c r="G7" s="672"/>
      <c r="H7" s="672"/>
      <c r="I7" s="673"/>
      <c r="J7" s="673"/>
      <c r="K7" s="673"/>
      <c r="L7" s="673"/>
    </row>
    <row r="8" spans="2:18" x14ac:dyDescent="0.3">
      <c r="B8" s="219"/>
      <c r="C8" s="407"/>
      <c r="D8" s="407"/>
      <c r="E8" s="674" t="s">
        <v>453</v>
      </c>
      <c r="F8" s="674"/>
      <c r="G8" s="674"/>
      <c r="H8" s="674"/>
      <c r="I8" s="675" t="s">
        <v>3</v>
      </c>
      <c r="J8" s="675"/>
      <c r="K8" s="675"/>
      <c r="L8" s="675"/>
      <c r="M8" s="438"/>
      <c r="N8" s="438"/>
      <c r="O8" s="438"/>
      <c r="P8" s="438"/>
      <c r="Q8" s="438"/>
      <c r="R8" s="438"/>
    </row>
    <row r="9" spans="2:18" ht="28.8" x14ac:dyDescent="0.3">
      <c r="B9" s="219" t="s">
        <v>4</v>
      </c>
      <c r="C9" s="409" t="s">
        <v>5</v>
      </c>
      <c r="D9" s="409" t="s">
        <v>470</v>
      </c>
      <c r="E9" s="425" t="s">
        <v>454</v>
      </c>
      <c r="F9" s="425" t="s">
        <v>455</v>
      </c>
      <c r="G9" s="425" t="s">
        <v>456</v>
      </c>
      <c r="H9" s="425" t="s">
        <v>457</v>
      </c>
      <c r="I9" s="408" t="s">
        <v>6</v>
      </c>
      <c r="J9" s="408" t="s">
        <v>7</v>
      </c>
      <c r="K9" s="408" t="s">
        <v>8</v>
      </c>
      <c r="L9" s="408" t="s">
        <v>9</v>
      </c>
      <c r="M9" s="438"/>
      <c r="N9" s="438"/>
      <c r="O9" s="438"/>
      <c r="P9" s="438"/>
      <c r="Q9" s="438"/>
      <c r="R9" s="438"/>
    </row>
    <row r="10" spans="2:18" s="215" customFormat="1" ht="30.75" customHeight="1" x14ac:dyDescent="0.3">
      <c r="B10" s="426" t="s">
        <v>468</v>
      </c>
      <c r="C10" s="669" t="s">
        <v>489</v>
      </c>
      <c r="D10" s="670"/>
      <c r="E10" s="670"/>
      <c r="F10" s="670"/>
      <c r="G10" s="670"/>
      <c r="H10" s="670"/>
      <c r="I10" s="670"/>
      <c r="J10" s="670"/>
      <c r="K10" s="670"/>
      <c r="L10" s="671"/>
      <c r="M10" s="533"/>
      <c r="N10" s="533"/>
      <c r="O10" s="533"/>
      <c r="P10" s="533"/>
      <c r="Q10" s="533"/>
      <c r="R10" s="533"/>
    </row>
    <row r="11" spans="2:18" s="215" customFormat="1" ht="28.8" x14ac:dyDescent="0.3">
      <c r="B11" s="263">
        <v>1.1000000000000001</v>
      </c>
      <c r="C11" s="410" t="str">
        <f>'UNDP '!C10</f>
        <v>Implement Public-Private Partnership Models of Vaccine Logistics and Cold Chain Management</v>
      </c>
      <c r="D11" s="410" t="s">
        <v>461</v>
      </c>
      <c r="E11" s="411">
        <f>'UNDP '!D14</f>
        <v>0</v>
      </c>
      <c r="F11" s="411">
        <f>'UNDP '!E14</f>
        <v>6.2962962962962957E-2</v>
      </c>
      <c r="G11" s="411">
        <f>'UNDP '!F14</f>
        <v>0.15377777777777776</v>
      </c>
      <c r="H11" s="411">
        <f>'UNDP '!G14</f>
        <v>0.38781481481481483</v>
      </c>
      <c r="I11" s="412">
        <f>'UNDP '!H14</f>
        <v>0.60455555555555551</v>
      </c>
      <c r="J11" s="412">
        <f>'UNDP '!I14</f>
        <v>4.6495925925925929</v>
      </c>
      <c r="K11" s="412">
        <f>'UNDP '!J14</f>
        <v>4.9451851851851849</v>
      </c>
      <c r="L11" s="412">
        <f>'UNDP '!K14</f>
        <v>10.199333333333335</v>
      </c>
      <c r="M11" s="533"/>
      <c r="N11" s="533"/>
      <c r="O11" s="533"/>
      <c r="P11" s="533"/>
      <c r="Q11" s="533"/>
      <c r="R11" s="533"/>
    </row>
    <row r="12" spans="2:18" s="215" customFormat="1" x14ac:dyDescent="0.3">
      <c r="B12" s="263">
        <v>1.2</v>
      </c>
      <c r="C12" s="410" t="str">
        <f>UNICEF!C10</f>
        <v>Improve Human Resources to improve cold chain performance</v>
      </c>
      <c r="D12" s="410" t="s">
        <v>464</v>
      </c>
      <c r="E12" s="411">
        <f>UNICEF!D13</f>
        <v>7.2222222222222215E-2</v>
      </c>
      <c r="F12" s="411">
        <f>UNICEF!E13</f>
        <v>7.2222222222222215E-2</v>
      </c>
      <c r="G12" s="411">
        <f>UNICEF!F13</f>
        <v>7.2222222222222215E-2</v>
      </c>
      <c r="H12" s="411">
        <f>UNICEF!G13</f>
        <v>0.31139814814814815</v>
      </c>
      <c r="I12" s="411">
        <f>UNICEF!H13</f>
        <v>0.52806481481481482</v>
      </c>
      <c r="J12" s="411">
        <f>UNICEF!I13</f>
        <v>1.629212962962963</v>
      </c>
      <c r="K12" s="411">
        <f>UNICEF!J13</f>
        <v>0.40787962962962965</v>
      </c>
      <c r="L12" s="411">
        <f>UNICEF!K13</f>
        <v>2.5651574074074075</v>
      </c>
      <c r="M12" s="533"/>
      <c r="N12" s="533"/>
      <c r="O12" s="533"/>
      <c r="P12" s="533"/>
      <c r="Q12" s="533"/>
      <c r="R12" s="533"/>
    </row>
    <row r="13" spans="2:18" x14ac:dyDescent="0.3">
      <c r="B13" s="253">
        <v>1.3</v>
      </c>
      <c r="C13" s="410" t="str">
        <f>UNICEF!C14</f>
        <v>Supportive Supervision to ensure quality implementation</v>
      </c>
      <c r="D13" s="410" t="s">
        <v>464</v>
      </c>
      <c r="E13" s="411">
        <f>UNICEF!D16</f>
        <v>0.14133333333333334</v>
      </c>
      <c r="F13" s="411">
        <f>UNICEF!E16</f>
        <v>0.14133333333333334</v>
      </c>
      <c r="G13" s="411">
        <f>UNICEF!F16</f>
        <v>0.21675</v>
      </c>
      <c r="H13" s="411">
        <f>UNICEF!G16</f>
        <v>0.29216666666666669</v>
      </c>
      <c r="I13" s="411">
        <f>UNICEF!H16</f>
        <v>0.79158333333333342</v>
      </c>
      <c r="J13" s="411">
        <f>UNICEF!I16</f>
        <v>1.2799499999999999</v>
      </c>
      <c r="K13" s="411">
        <f>UNICEF!J16</f>
        <v>1.5477200000000002</v>
      </c>
      <c r="L13" s="411">
        <f>UNICEF!K16</f>
        <v>3.6192533333333339</v>
      </c>
      <c r="M13" s="438"/>
      <c r="N13" s="438"/>
      <c r="O13" s="438"/>
      <c r="P13" s="438"/>
      <c r="Q13" s="438"/>
      <c r="R13" s="438"/>
    </row>
    <row r="14" spans="2:18" x14ac:dyDescent="0.3">
      <c r="B14" s="253">
        <v>1.4</v>
      </c>
      <c r="C14" s="410" t="str">
        <f>UNICEF!C17</f>
        <v>Implement EVM improvement plans</v>
      </c>
      <c r="D14" s="410" t="s">
        <v>464</v>
      </c>
      <c r="E14" s="411">
        <f>UNICEF!D21</f>
        <v>0</v>
      </c>
      <c r="F14" s="411">
        <f>UNICEF!E21</f>
        <v>0</v>
      </c>
      <c r="G14" s="411">
        <f>UNICEF!F21</f>
        <v>0.18359259259259261</v>
      </c>
      <c r="H14" s="411">
        <f>UNICEF!G21</f>
        <v>0.25857407407407407</v>
      </c>
      <c r="I14" s="411">
        <f>UNICEF!H21</f>
        <v>0.44216666666666671</v>
      </c>
      <c r="J14" s="411">
        <f>UNICEF!I21</f>
        <v>1.2727777777777778</v>
      </c>
      <c r="K14" s="411">
        <f>UNICEF!J21</f>
        <v>1.8170740740740741</v>
      </c>
      <c r="L14" s="411">
        <f>UNICEF!K21</f>
        <v>3.5320185185185182</v>
      </c>
      <c r="M14" s="438"/>
      <c r="N14" s="438"/>
      <c r="O14" s="438"/>
      <c r="P14" s="438"/>
      <c r="Q14" s="438"/>
      <c r="R14" s="438"/>
    </row>
    <row r="15" spans="2:18" x14ac:dyDescent="0.3">
      <c r="B15" s="253">
        <v>1.5</v>
      </c>
      <c r="C15" s="413" t="str">
        <f>UNICEF!C22</f>
        <v>Institutional Capacity building to strengthen the cold chain system</v>
      </c>
      <c r="D15" s="410" t="s">
        <v>464</v>
      </c>
      <c r="E15" s="411">
        <f>UNICEF!D25</f>
        <v>0</v>
      </c>
      <c r="F15" s="411">
        <f>UNICEF!E25</f>
        <v>0</v>
      </c>
      <c r="G15" s="411">
        <f>UNICEF!F25</f>
        <v>0.2</v>
      </c>
      <c r="H15" s="411">
        <f>UNICEF!G25</f>
        <v>3.0059259259259261</v>
      </c>
      <c r="I15" s="411">
        <f>UNICEF!H25</f>
        <v>3.2059259259259258</v>
      </c>
      <c r="J15" s="411">
        <f>UNICEF!I25</f>
        <v>0.2388888888888889</v>
      </c>
      <c r="K15" s="411">
        <f>UNICEF!J25</f>
        <v>0.24444444444444446</v>
      </c>
      <c r="L15" s="411">
        <f>UNICEF!K25</f>
        <v>3.6892592592592597</v>
      </c>
    </row>
    <row r="16" spans="2:18" x14ac:dyDescent="0.3">
      <c r="B16" s="253"/>
      <c r="C16" s="414" t="s">
        <v>476</v>
      </c>
      <c r="D16" s="414"/>
      <c r="E16" s="415">
        <f>SUM(E11:E15)</f>
        <v>0.21355555555555555</v>
      </c>
      <c r="F16" s="415">
        <f t="shared" ref="F16:L16" si="0">SUM(F11:F15)</f>
        <v>0.2765185185185185</v>
      </c>
      <c r="G16" s="415">
        <f t="shared" si="0"/>
        <v>0.82634259259259268</v>
      </c>
      <c r="H16" s="415">
        <f t="shared" si="0"/>
        <v>4.2558796296296304</v>
      </c>
      <c r="I16" s="415">
        <f t="shared" si="0"/>
        <v>5.5722962962962956</v>
      </c>
      <c r="J16" s="415">
        <f t="shared" si="0"/>
        <v>9.0704222222222217</v>
      </c>
      <c r="K16" s="415">
        <f t="shared" si="0"/>
        <v>8.9623033333333346</v>
      </c>
      <c r="L16" s="415">
        <f t="shared" si="0"/>
        <v>23.605021851851856</v>
      </c>
    </row>
    <row r="17" spans="2:12" ht="15.75" customHeight="1" x14ac:dyDescent="0.3">
      <c r="B17" s="426" t="s">
        <v>467</v>
      </c>
      <c r="C17" s="668" t="s">
        <v>466</v>
      </c>
      <c r="D17" s="668"/>
      <c r="E17" s="668"/>
      <c r="F17" s="668"/>
      <c r="G17" s="668"/>
      <c r="H17" s="668"/>
      <c r="I17" s="668"/>
      <c r="J17" s="668"/>
      <c r="K17" s="668"/>
      <c r="L17" s="668"/>
    </row>
    <row r="18" spans="2:12" x14ac:dyDescent="0.3">
      <c r="B18" s="253">
        <v>2.1</v>
      </c>
      <c r="C18" s="410" t="str">
        <f>'UNDP '!C15</f>
        <v>Scale up a system for SMS-enabled real time MIS for cold chain and VLM</v>
      </c>
      <c r="D18" s="410" t="s">
        <v>461</v>
      </c>
      <c r="E18" s="411">
        <f>'UNDP '!D18</f>
        <v>0.11851851851851852</v>
      </c>
      <c r="F18" s="411">
        <f>'UNDP '!E18</f>
        <v>0.19583333333333333</v>
      </c>
      <c r="G18" s="411">
        <f>'UNDP '!F18</f>
        <v>0.42592592592592593</v>
      </c>
      <c r="H18" s="411">
        <f>'UNDP '!G18</f>
        <v>0.10509259259259258</v>
      </c>
      <c r="I18" s="412">
        <f>'UNDP '!H18</f>
        <v>0.84537037037037033</v>
      </c>
      <c r="J18" s="412">
        <f>'UNDP '!I18</f>
        <v>5.0614074074074082</v>
      </c>
      <c r="K18" s="412">
        <f>'UNDP '!J18</f>
        <v>2.8322222222222226</v>
      </c>
      <c r="L18" s="412">
        <f>'UNDP '!K18</f>
        <v>8.7390000000000008</v>
      </c>
    </row>
    <row r="19" spans="2:12" x14ac:dyDescent="0.3">
      <c r="B19" s="253">
        <v>2.2000000000000002</v>
      </c>
      <c r="C19" s="410" t="str">
        <f>'UNDP '!C19</f>
        <v>Human Resource and capacity buidling for vaccine intelligence</v>
      </c>
      <c r="D19" s="410" t="s">
        <v>461</v>
      </c>
      <c r="E19" s="411">
        <f>'UNDP '!D22</f>
        <v>1.8518518518518519E-3</v>
      </c>
      <c r="F19" s="411">
        <f>'UNDP '!E22</f>
        <v>5.5879629629629626E-2</v>
      </c>
      <c r="G19" s="411">
        <f>'UNDP '!F22</f>
        <v>0.90277777777777768</v>
      </c>
      <c r="H19" s="411">
        <f>'UNDP '!G22</f>
        <v>0.20237037037037037</v>
      </c>
      <c r="I19" s="412">
        <f>'UNDP '!H22</f>
        <v>1.1628796296296295</v>
      </c>
      <c r="J19" s="412">
        <f>'UNDP '!I22</f>
        <v>3.6084583333333331</v>
      </c>
      <c r="K19" s="412">
        <f>'UNDP '!J22</f>
        <v>3.72113425925926</v>
      </c>
      <c r="L19" s="412">
        <f>'UNDP '!K22</f>
        <v>8.4924722222222222</v>
      </c>
    </row>
    <row r="20" spans="2:12" x14ac:dyDescent="0.3">
      <c r="B20" s="253"/>
      <c r="C20" s="414" t="s">
        <v>476</v>
      </c>
      <c r="D20" s="414"/>
      <c r="E20" s="415">
        <f>SUM(E18:E19)</f>
        <v>0.12037037037037038</v>
      </c>
      <c r="F20" s="415">
        <f t="shared" ref="F20:L20" si="1">SUM(F18:F19)</f>
        <v>0.25171296296296297</v>
      </c>
      <c r="G20" s="415">
        <f t="shared" si="1"/>
        <v>1.3287037037037037</v>
      </c>
      <c r="H20" s="415">
        <f t="shared" si="1"/>
        <v>0.30746296296296294</v>
      </c>
      <c r="I20" s="415">
        <f t="shared" si="1"/>
        <v>2.0082499999999999</v>
      </c>
      <c r="J20" s="415">
        <f t="shared" si="1"/>
        <v>8.6698657407407413</v>
      </c>
      <c r="K20" s="415">
        <f t="shared" si="1"/>
        <v>6.5533564814814831</v>
      </c>
      <c r="L20" s="415">
        <f t="shared" si="1"/>
        <v>17.231472222222223</v>
      </c>
    </row>
    <row r="21" spans="2:12" x14ac:dyDescent="0.3">
      <c r="B21" s="426" t="s">
        <v>465</v>
      </c>
      <c r="C21" s="668" t="s">
        <v>536</v>
      </c>
      <c r="D21" s="668"/>
      <c r="E21" s="668"/>
      <c r="F21" s="668"/>
      <c r="G21" s="668"/>
      <c r="H21" s="668"/>
      <c r="I21" s="668"/>
      <c r="J21" s="668"/>
      <c r="K21" s="668"/>
      <c r="L21" s="668"/>
    </row>
    <row r="22" spans="2:12" ht="28.8" x14ac:dyDescent="0.3">
      <c r="B22" s="253">
        <v>3.1</v>
      </c>
      <c r="C22" s="410" t="str">
        <f>UNICEF!C26</f>
        <v>Implement Multi pronged national BCC strategy development and operational plans</v>
      </c>
      <c r="D22" s="410" t="s">
        <v>464</v>
      </c>
      <c r="E22" s="411">
        <f>UNICEF!D27</f>
        <v>0</v>
      </c>
      <c r="F22" s="411">
        <f>UNICEF!E27</f>
        <v>0</v>
      </c>
      <c r="G22" s="411">
        <f>UNICEF!F27</f>
        <v>0.31081481481481482</v>
      </c>
      <c r="H22" s="411">
        <f>UNICEF!G27</f>
        <v>0.38851851851851854</v>
      </c>
      <c r="I22" s="411">
        <f>UNICEF!H27</f>
        <v>0.69933333333333336</v>
      </c>
      <c r="J22" s="411">
        <f>UNICEF!I27</f>
        <v>0.45740740740740743</v>
      </c>
      <c r="K22" s="411">
        <f>UNICEF!J27</f>
        <v>0.67962962962962969</v>
      </c>
      <c r="L22" s="411">
        <f>UNICEF!K27</f>
        <v>1.8363703703703704</v>
      </c>
    </row>
    <row r="23" spans="2:12" ht="28.8" x14ac:dyDescent="0.3">
      <c r="B23" s="253">
        <v>3.2</v>
      </c>
      <c r="C23" s="410" t="str">
        <f>UNICEF!C28</f>
        <v>Enhance Infrastructure and HR Capacity to develop and implement BCC strategies</v>
      </c>
      <c r="D23" s="410" t="s">
        <v>464</v>
      </c>
      <c r="E23" s="411">
        <f>UNICEF!D29</f>
        <v>0.69444444444444453</v>
      </c>
      <c r="F23" s="411">
        <f>UNICEF!E29</f>
        <v>0.72753703703703709</v>
      </c>
      <c r="G23" s="411">
        <f>UNICEF!F29</f>
        <v>0.94620370370370377</v>
      </c>
      <c r="H23" s="411">
        <f>UNICEF!G29</f>
        <v>0.89444444444444449</v>
      </c>
      <c r="I23" s="411">
        <f>UNICEF!H29</f>
        <v>3.2626296296296298</v>
      </c>
      <c r="J23" s="411">
        <f>UNICEF!I29</f>
        <v>3.571333333333333</v>
      </c>
      <c r="K23" s="411">
        <f>UNICEF!J29</f>
        <v>3.5172222222222227</v>
      </c>
      <c r="L23" s="411">
        <f>UNICEF!K29</f>
        <v>10.351185185185185</v>
      </c>
    </row>
    <row r="24" spans="2:12" x14ac:dyDescent="0.3">
      <c r="B24" s="253">
        <v>3.3</v>
      </c>
      <c r="C24" s="410" t="str">
        <f>UNICEF!C30</f>
        <v>Develop and Broadcast immunisation messages through mass media</v>
      </c>
      <c r="D24" s="410" t="s">
        <v>464</v>
      </c>
      <c r="E24" s="411">
        <f>UNICEF!D31</f>
        <v>0</v>
      </c>
      <c r="F24" s="411">
        <f>UNICEF!E31</f>
        <v>0.58766790123456791</v>
      </c>
      <c r="G24" s="411">
        <f>UNICEF!F31</f>
        <v>0.68475586419753076</v>
      </c>
      <c r="H24" s="411">
        <f>UNICEF!G31</f>
        <v>0.67655679012345671</v>
      </c>
      <c r="I24" s="411">
        <f>UNICEF!H31</f>
        <v>1.9489805555555555</v>
      </c>
      <c r="J24" s="411">
        <f>UNICEF!I31</f>
        <v>1.902684259259259</v>
      </c>
      <c r="K24" s="411">
        <f>UNICEF!J31</f>
        <v>1.7630037037037036</v>
      </c>
      <c r="L24" s="411">
        <f>UNICEF!K31</f>
        <v>5.6146685185185179</v>
      </c>
    </row>
    <row r="25" spans="2:12" ht="28.8" x14ac:dyDescent="0.3">
      <c r="B25" s="253">
        <v>3.4</v>
      </c>
      <c r="C25" s="410" t="str">
        <f>UNICEF!C32</f>
        <v>Promote advocacy with media for creating an enabling environment for increasing demand for RI services</v>
      </c>
      <c r="D25" s="410" t="s">
        <v>464</v>
      </c>
      <c r="E25" s="411">
        <f>UNICEF!D33</f>
        <v>0</v>
      </c>
      <c r="F25" s="411">
        <f>UNICEF!E33</f>
        <v>0.307</v>
      </c>
      <c r="G25" s="411">
        <f>UNICEF!F33</f>
        <v>0.35772222222222227</v>
      </c>
      <c r="H25" s="411">
        <f>UNICEF!G33</f>
        <v>0.48222222222222227</v>
      </c>
      <c r="I25" s="411">
        <f>UNICEF!H33</f>
        <v>1.1469444444444445</v>
      </c>
      <c r="J25" s="411">
        <f>UNICEF!I33</f>
        <v>1.1824814814814815</v>
      </c>
      <c r="K25" s="411">
        <f>UNICEF!J33</f>
        <v>0.16137037037037036</v>
      </c>
      <c r="L25" s="411">
        <f>UNICEF!K33</f>
        <v>2.4907962962962968</v>
      </c>
    </row>
    <row r="26" spans="2:12" x14ac:dyDescent="0.3">
      <c r="B26" s="253">
        <v>3.5</v>
      </c>
      <c r="C26" s="410" t="str">
        <f>'UNDP '!C23</f>
        <v>Monitoring and Evaluation</v>
      </c>
      <c r="D26" s="410" t="s">
        <v>461</v>
      </c>
      <c r="E26" s="411">
        <f>'UNDP '!D26</f>
        <v>2.2222222222222222E-3</v>
      </c>
      <c r="F26" s="411">
        <f>'UNDP '!E26</f>
        <v>2.2222222222222222E-3</v>
      </c>
      <c r="G26" s="411">
        <f>'UNDP '!F26</f>
        <v>4.0740740740740737E-3</v>
      </c>
      <c r="H26" s="411">
        <f>'UNDP '!G26</f>
        <v>0.12444444444444444</v>
      </c>
      <c r="I26" s="412">
        <f>'UNDP '!H26</f>
        <v>0.13296296296296295</v>
      </c>
      <c r="J26" s="412">
        <f>'UNDP '!I26</f>
        <v>0.13851851851851851</v>
      </c>
      <c r="K26" s="412">
        <f>'UNDP '!J26</f>
        <v>0.1348148148148148</v>
      </c>
      <c r="L26" s="412">
        <f>'UNDP '!K26</f>
        <v>0.40629629629629627</v>
      </c>
    </row>
    <row r="27" spans="2:12" x14ac:dyDescent="0.3">
      <c r="B27" s="253"/>
      <c r="C27" s="414" t="s">
        <v>476</v>
      </c>
      <c r="D27" s="414"/>
      <c r="E27" s="415">
        <f>SUM(E22:E26)</f>
        <v>0.69666666666666677</v>
      </c>
      <c r="F27" s="415">
        <f t="shared" ref="F27:L27" si="2">SUM(F22:F26)</f>
        <v>1.624427160493827</v>
      </c>
      <c r="G27" s="415">
        <f t="shared" si="2"/>
        <v>2.3035706790123456</v>
      </c>
      <c r="H27" s="415">
        <f t="shared" si="2"/>
        <v>2.5661864197530861</v>
      </c>
      <c r="I27" s="415">
        <f t="shared" si="2"/>
        <v>7.1908509259259255</v>
      </c>
      <c r="J27" s="415">
        <f t="shared" si="2"/>
        <v>7.2524249999999997</v>
      </c>
      <c r="K27" s="415">
        <f t="shared" si="2"/>
        <v>6.2560407407407421</v>
      </c>
      <c r="L27" s="415">
        <f t="shared" si="2"/>
        <v>20.699316666666665</v>
      </c>
    </row>
    <row r="28" spans="2:12" ht="30.75" customHeight="1" x14ac:dyDescent="0.3">
      <c r="B28" s="426" t="s">
        <v>463</v>
      </c>
      <c r="C28" s="669" t="s">
        <v>462</v>
      </c>
      <c r="D28" s="670"/>
      <c r="E28" s="670"/>
      <c r="F28" s="670"/>
      <c r="G28" s="670"/>
      <c r="H28" s="670"/>
      <c r="I28" s="670"/>
      <c r="J28" s="670"/>
      <c r="K28" s="670"/>
      <c r="L28" s="671"/>
    </row>
    <row r="29" spans="2:12" ht="43.2" x14ac:dyDescent="0.3">
      <c r="B29" s="253">
        <v>4.0999999999999996</v>
      </c>
      <c r="C29" s="410" t="str">
        <f>WHO!C10</f>
        <v>Build the capacity of existing institutions at the national, state, district, and block levels in generating and interpreting evidence through measles and other VPD surveillance for improved policy-making</v>
      </c>
      <c r="D29" s="410" t="s">
        <v>458</v>
      </c>
      <c r="E29" s="411">
        <f>WHO!D15</f>
        <v>0.26875555555555553</v>
      </c>
      <c r="F29" s="411">
        <f>WHO!E15</f>
        <v>0.19394074074074075</v>
      </c>
      <c r="G29" s="411">
        <f>WHO!F15</f>
        <v>0.22083888888888889</v>
      </c>
      <c r="H29" s="411">
        <f>WHO!G15</f>
        <v>0.15875555555555557</v>
      </c>
      <c r="I29" s="412">
        <f>WHO!H15</f>
        <v>0.84229074074074073</v>
      </c>
      <c r="J29" s="412">
        <f>WHO!I15</f>
        <v>0.87351981481481478</v>
      </c>
      <c r="K29" s="412">
        <f>WHO!J15</f>
        <v>0.96727179629629634</v>
      </c>
      <c r="L29" s="412">
        <f>WHO!K15</f>
        <v>2.6830823518518518</v>
      </c>
    </row>
    <row r="30" spans="2:12" ht="28.8" x14ac:dyDescent="0.3">
      <c r="B30" s="253">
        <v>4.2</v>
      </c>
      <c r="C30" s="410" t="str">
        <f>'UNDP '!C27</f>
        <v>Expand Model based strategy development approaches to support policy decisions in seven additional states</v>
      </c>
      <c r="D30" s="410" t="s">
        <v>461</v>
      </c>
      <c r="E30" s="411">
        <f>'UNDP '!D30</f>
        <v>3.7037037037037038E-3</v>
      </c>
      <c r="F30" s="411">
        <f>'UNDP '!E30</f>
        <v>0.64814814814814825</v>
      </c>
      <c r="G30" s="411">
        <f>'UNDP '!F30</f>
        <v>8.9036814814814819E-2</v>
      </c>
      <c r="H30" s="411">
        <f>'UNDP '!G30</f>
        <v>8.9036814814814819E-2</v>
      </c>
      <c r="I30" s="412">
        <f>'UNDP '!H30</f>
        <v>0.8299254814814816</v>
      </c>
      <c r="J30" s="412">
        <f>'UNDP '!I30</f>
        <v>0.35614725925925927</v>
      </c>
      <c r="K30" s="412">
        <f>'UNDP '!J30</f>
        <v>0.35614725925925927</v>
      </c>
      <c r="L30" s="412">
        <f>'UNDP '!K30</f>
        <v>1.5422199999999999</v>
      </c>
    </row>
    <row r="31" spans="2:12" ht="28.8" x14ac:dyDescent="0.3">
      <c r="B31" s="253">
        <v>4.3</v>
      </c>
      <c r="C31" s="410" t="str">
        <f>'UNDP '!C31</f>
        <v>Support Eveidence generation to assess the case of new antigens based on system readiness, avertable burden, programme costs and cost effectiveness</v>
      </c>
      <c r="D31" s="410" t="s">
        <v>461</v>
      </c>
      <c r="E31" s="411">
        <f>'UNDP '!D34</f>
        <v>0</v>
      </c>
      <c r="F31" s="411">
        <f>'UNDP '!E34</f>
        <v>5.1111111111111107E-2</v>
      </c>
      <c r="G31" s="411">
        <f>'UNDP '!F34</f>
        <v>0.73277777777777775</v>
      </c>
      <c r="H31" s="411">
        <f>'UNDP '!G34</f>
        <v>7.4259259259259247E-2</v>
      </c>
      <c r="I31" s="412">
        <f>'UNDP '!H34</f>
        <v>0.8581481481481481</v>
      </c>
      <c r="J31" s="412">
        <f>'UNDP '!I34</f>
        <v>2.0809259259259263</v>
      </c>
      <c r="K31" s="412">
        <f>'UNDP '!J34</f>
        <v>1.4376666666666669</v>
      </c>
      <c r="L31" s="412">
        <f>'UNDP '!K34</f>
        <v>4.3767407407407415</v>
      </c>
    </row>
    <row r="32" spans="2:12" x14ac:dyDescent="0.3">
      <c r="B32" s="253"/>
      <c r="C32" s="414" t="s">
        <v>476</v>
      </c>
      <c r="D32" s="414"/>
      <c r="E32" s="415">
        <f>SUM(E29:E31)</f>
        <v>0.27245925925925923</v>
      </c>
      <c r="F32" s="415">
        <f t="shared" ref="F32:L32" si="3">SUM(F29:F31)</f>
        <v>0.8932000000000001</v>
      </c>
      <c r="G32" s="415">
        <f t="shared" si="3"/>
        <v>1.0426534814814814</v>
      </c>
      <c r="H32" s="415">
        <f t="shared" si="3"/>
        <v>0.32205162962962963</v>
      </c>
      <c r="I32" s="415">
        <f t="shared" si="3"/>
        <v>2.5303643703703704</v>
      </c>
      <c r="J32" s="415">
        <f t="shared" si="3"/>
        <v>3.3105930000000003</v>
      </c>
      <c r="K32" s="415">
        <f t="shared" si="3"/>
        <v>2.7610857222222225</v>
      </c>
      <c r="L32" s="415">
        <f t="shared" si="3"/>
        <v>8.6020430925925933</v>
      </c>
    </row>
    <row r="33" spans="2:12" ht="15.75" customHeight="1" x14ac:dyDescent="0.3">
      <c r="B33" s="426" t="s">
        <v>460</v>
      </c>
      <c r="C33" s="668" t="s">
        <v>459</v>
      </c>
      <c r="D33" s="668"/>
      <c r="E33" s="668"/>
      <c r="F33" s="668"/>
      <c r="G33" s="668"/>
      <c r="H33" s="668"/>
      <c r="I33" s="668"/>
      <c r="J33" s="668"/>
      <c r="K33" s="668"/>
      <c r="L33" s="668"/>
    </row>
    <row r="34" spans="2:12" x14ac:dyDescent="0.3">
      <c r="B34" s="253">
        <v>5</v>
      </c>
      <c r="C34" s="410" t="str">
        <f>WHO!C16</f>
        <v>Human resources at national and state level (both technical and support staff)</v>
      </c>
      <c r="D34" s="410" t="s">
        <v>458</v>
      </c>
      <c r="E34" s="411">
        <f>WHO!D19</f>
        <v>0.65315377777777783</v>
      </c>
      <c r="F34" s="411">
        <f>WHO!E19</f>
        <v>0.65315377777777783</v>
      </c>
      <c r="G34" s="411">
        <f>WHO!F19</f>
        <v>0.65315377777777783</v>
      </c>
      <c r="H34" s="411">
        <f>WHO!G19</f>
        <v>0.65315377777777783</v>
      </c>
      <c r="I34" s="412">
        <f>WHO!H19</f>
        <v>2.6126151111111113</v>
      </c>
      <c r="J34" s="412">
        <f>WHO!I19</f>
        <v>3.4722722222222222</v>
      </c>
      <c r="K34" s="412">
        <f>WHO!J19</f>
        <v>4.4777346044444446</v>
      </c>
      <c r="L34" s="412">
        <f>WHO!K19</f>
        <v>10.562621937777779</v>
      </c>
    </row>
    <row r="35" spans="2:12" x14ac:dyDescent="0.3">
      <c r="B35" s="253">
        <v>5.2</v>
      </c>
      <c r="C35" s="410" t="str">
        <f>WHO!C21</f>
        <v>Intensified RI Monitoring</v>
      </c>
      <c r="D35" s="410" t="s">
        <v>458</v>
      </c>
      <c r="E35" s="411">
        <f>WHO!D23</f>
        <v>0.46401888888888887</v>
      </c>
      <c r="F35" s="411">
        <f>WHO!E23</f>
        <v>0.46401888888888887</v>
      </c>
      <c r="G35" s="411">
        <f>WHO!F23</f>
        <v>0.46401888888888887</v>
      </c>
      <c r="H35" s="411">
        <f>WHO!G23</f>
        <v>0.46401888888888887</v>
      </c>
      <c r="I35" s="412">
        <f>WHO!H23</f>
        <v>1.8560755555555555</v>
      </c>
      <c r="J35" s="412">
        <f>WHO!I23</f>
        <v>2.0416831111111113</v>
      </c>
      <c r="K35" s="412">
        <f>WHO!J23</f>
        <v>2.2458514222222226</v>
      </c>
      <c r="L35" s="412">
        <f>WHO!K23</f>
        <v>6.1436100888888889</v>
      </c>
    </row>
    <row r="36" spans="2:12" x14ac:dyDescent="0.3">
      <c r="B36" s="253">
        <v>5.3</v>
      </c>
      <c r="C36" s="410" t="str">
        <f>WHO!C24</f>
        <v>AFP surveillance, UIP reviews, Evaluations</v>
      </c>
      <c r="D36" s="410" t="s">
        <v>458</v>
      </c>
      <c r="E36" s="411">
        <f>WHO!D27</f>
        <v>0</v>
      </c>
      <c r="F36" s="411">
        <f>WHO!E27</f>
        <v>0</v>
      </c>
      <c r="G36" s="411">
        <f>WHO!F27</f>
        <v>2.4888888888888887E-2</v>
      </c>
      <c r="H36" s="411">
        <f>WHO!G27</f>
        <v>0</v>
      </c>
      <c r="I36" s="412">
        <f>WHO!H27</f>
        <v>2.4888888888888887E-2</v>
      </c>
      <c r="J36" s="412">
        <f>WHO!I27</f>
        <v>2.7377777777777779E-2</v>
      </c>
      <c r="K36" s="412">
        <f>WHO!J27</f>
        <v>2.760592592592593E-2</v>
      </c>
      <c r="L36" s="412">
        <f>WHO!K27</f>
        <v>7.9872592592592592E-2</v>
      </c>
    </row>
    <row r="37" spans="2:12" x14ac:dyDescent="0.3">
      <c r="B37" s="253">
        <v>5.4</v>
      </c>
      <c r="C37" s="410" t="str">
        <f>WHO!C28</f>
        <v>SDA Facility management and organization</v>
      </c>
      <c r="D37" s="410" t="s">
        <v>458</v>
      </c>
      <c r="E37" s="411">
        <f>WHO!D30</f>
        <v>0.10693759999999998</v>
      </c>
      <c r="F37" s="411">
        <f>WHO!E30</f>
        <v>0.10693759999999998</v>
      </c>
      <c r="G37" s="411">
        <f>WHO!F30</f>
        <v>0.10693759999999998</v>
      </c>
      <c r="H37" s="411">
        <f>WHO!G30</f>
        <v>0.10693759999999998</v>
      </c>
      <c r="I37" s="412">
        <f>WHO!H30</f>
        <v>0.42775039999999992</v>
      </c>
      <c r="J37" s="412">
        <f>WHO!I30</f>
        <v>0.44913791999999991</v>
      </c>
      <c r="K37" s="412">
        <f>WHO!J30</f>
        <v>0.47159481599999992</v>
      </c>
      <c r="L37" s="412">
        <f>WHO!K30</f>
        <v>1.3484831359999998</v>
      </c>
    </row>
    <row r="38" spans="2:12" ht="28.8" x14ac:dyDescent="0.3">
      <c r="B38" s="253">
        <v>5.5</v>
      </c>
      <c r="C38" s="410" t="str">
        <f>WHO!C31</f>
        <v xml:space="preserve">Build capacity of frontline workers at state and district levels in high priority states </v>
      </c>
      <c r="D38" s="410" t="s">
        <v>458</v>
      </c>
      <c r="E38" s="411">
        <f>WHO!D34</f>
        <v>0</v>
      </c>
      <c r="F38" s="411">
        <f>WHO!E34</f>
        <v>0.44037777777777781</v>
      </c>
      <c r="G38" s="411">
        <f>WHO!F34</f>
        <v>0</v>
      </c>
      <c r="H38" s="411">
        <f>WHO!G34</f>
        <v>0.44037777777777781</v>
      </c>
      <c r="I38" s="412">
        <f>WHO!H34</f>
        <v>0.88075555555555562</v>
      </c>
      <c r="J38" s="412">
        <f>WHO!I34</f>
        <v>0.9688311111111112</v>
      </c>
      <c r="K38" s="412">
        <f>WHO!J34</f>
        <v>1.0657142222222225</v>
      </c>
      <c r="L38" s="412">
        <f>WHO!K34</f>
        <v>2.9153008888888894</v>
      </c>
    </row>
    <row r="39" spans="2:12" x14ac:dyDescent="0.3">
      <c r="B39" s="253"/>
      <c r="C39" s="414" t="s">
        <v>476</v>
      </c>
      <c r="D39" s="414"/>
      <c r="E39" s="415">
        <f>SUM(E34:E38)</f>
        <v>1.2241102666666668</v>
      </c>
      <c r="F39" s="415">
        <f t="shared" ref="F39:L39" si="4">SUM(F34:F38)</f>
        <v>1.6644880444444445</v>
      </c>
      <c r="G39" s="415">
        <f t="shared" si="4"/>
        <v>1.2489991555555557</v>
      </c>
      <c r="H39" s="415">
        <f t="shared" si="4"/>
        <v>1.6644880444444445</v>
      </c>
      <c r="I39" s="415">
        <f t="shared" si="4"/>
        <v>5.8020855111111116</v>
      </c>
      <c r="J39" s="415">
        <f t="shared" si="4"/>
        <v>6.9593021422222225</v>
      </c>
      <c r="K39" s="415">
        <f t="shared" si="4"/>
        <v>8.2885009908148142</v>
      </c>
      <c r="L39" s="415">
        <f t="shared" si="4"/>
        <v>21.049888644148151</v>
      </c>
    </row>
    <row r="40" spans="2:12" x14ac:dyDescent="0.3">
      <c r="B40" s="263"/>
      <c r="C40" s="416"/>
      <c r="D40" s="416"/>
      <c r="E40" s="417"/>
      <c r="F40" s="417"/>
      <c r="G40" s="417"/>
      <c r="H40" s="417"/>
      <c r="I40" s="417"/>
      <c r="J40" s="417"/>
      <c r="K40" s="417"/>
      <c r="L40" s="417"/>
    </row>
    <row r="41" spans="2:12" x14ac:dyDescent="0.3">
      <c r="B41" s="418"/>
      <c r="C41" s="529" t="s">
        <v>505</v>
      </c>
      <c r="D41" s="419"/>
      <c r="E41" s="420"/>
      <c r="F41" s="420"/>
      <c r="G41" s="420"/>
      <c r="H41" s="420"/>
      <c r="I41" s="420"/>
      <c r="J41" s="420"/>
      <c r="K41" s="420"/>
      <c r="L41" s="420"/>
    </row>
    <row r="42" spans="2:12" ht="17.100000000000001" customHeight="1" x14ac:dyDescent="0.3">
      <c r="B42" s="253"/>
      <c r="C42" s="530" t="s">
        <v>507</v>
      </c>
      <c r="D42" s="410" t="s">
        <v>471</v>
      </c>
      <c r="E42" s="411">
        <f>1.5/4</f>
        <v>0.375</v>
      </c>
      <c r="F42" s="411">
        <f t="shared" ref="F42:H42" si="5">1.5/4</f>
        <v>0.375</v>
      </c>
      <c r="G42" s="411">
        <f t="shared" si="5"/>
        <v>0.375</v>
      </c>
      <c r="H42" s="411">
        <f t="shared" si="5"/>
        <v>0.375</v>
      </c>
      <c r="I42" s="259">
        <v>1.5</v>
      </c>
      <c r="J42" s="259">
        <v>1.5</v>
      </c>
      <c r="K42" s="259">
        <v>1.5</v>
      </c>
      <c r="L42" s="259">
        <v>4.5</v>
      </c>
    </row>
    <row r="43" spans="2:12" x14ac:dyDescent="0.3">
      <c r="B43" s="253"/>
      <c r="C43" s="530" t="s">
        <v>506</v>
      </c>
      <c r="D43" s="410" t="s">
        <v>461</v>
      </c>
      <c r="E43" s="411">
        <f>'UNDP '!D37</f>
        <v>2.75E-2</v>
      </c>
      <c r="F43" s="411">
        <f>'UNDP '!E37</f>
        <v>2.75E-2</v>
      </c>
      <c r="G43" s="411">
        <f>'UNDP '!F37</f>
        <v>2.75E-2</v>
      </c>
      <c r="H43" s="411">
        <f>'UNDP '!G37</f>
        <v>2.75E-2</v>
      </c>
      <c r="I43" s="412">
        <f>'UNDP '!H37</f>
        <v>0.1089936</v>
      </c>
      <c r="J43" s="412">
        <f>'UNDP '!I37</f>
        <v>0.11351841454545454</v>
      </c>
      <c r="K43" s="412">
        <f>'UNDP '!J37</f>
        <v>0.12309571054545454</v>
      </c>
      <c r="L43" s="412">
        <f>'UNDP '!K37</f>
        <v>0.34560772509090909</v>
      </c>
    </row>
    <row r="44" spans="2:12" x14ac:dyDescent="0.3">
      <c r="B44" s="253"/>
      <c r="C44" s="410"/>
      <c r="D44" s="410"/>
      <c r="E44" s="411"/>
      <c r="F44" s="411"/>
      <c r="G44" s="411"/>
      <c r="H44" s="411"/>
      <c r="I44" s="259"/>
      <c r="J44" s="259"/>
      <c r="K44" s="259"/>
      <c r="L44" s="259"/>
    </row>
    <row r="45" spans="2:12" x14ac:dyDescent="0.3">
      <c r="B45" s="253"/>
      <c r="C45" s="410" t="s">
        <v>472</v>
      </c>
      <c r="D45" s="410"/>
      <c r="E45" s="411">
        <f>I45/4</f>
        <v>6.3035446851851848E-2</v>
      </c>
      <c r="F45" s="411">
        <f>E45</f>
        <v>6.3035446851851848E-2</v>
      </c>
      <c r="G45" s="411">
        <f>E45</f>
        <v>6.3035446851851848E-2</v>
      </c>
      <c r="H45" s="411">
        <f>G45</f>
        <v>6.3035446851851848E-2</v>
      </c>
      <c r="I45" s="421">
        <f>'UNDP '!H40</f>
        <v>0.25214178740740739</v>
      </c>
      <c r="J45" s="421">
        <f>'UNDP '!I40</f>
        <v>0.82542842257912474</v>
      </c>
      <c r="K45" s="421">
        <f>'UNDP '!J40</f>
        <v>0.70251330589764327</v>
      </c>
      <c r="L45" s="421">
        <f>'UNDP '!K40</f>
        <v>1.7800835158841755</v>
      </c>
    </row>
    <row r="46" spans="2:12" x14ac:dyDescent="0.3">
      <c r="B46" s="253"/>
      <c r="C46" s="530" t="str">
        <f>UNICEF!C37</f>
        <v>Technical Assistance (Health specialists in 9 States and Delhi) @5% of total cost</v>
      </c>
      <c r="D46" s="410"/>
      <c r="E46" s="411">
        <f>UNICEF!D37</f>
        <v>0.1512</v>
      </c>
      <c r="F46" s="411">
        <f>UNICEF!E37</f>
        <v>0.1512</v>
      </c>
      <c r="G46" s="411">
        <f>UNICEF!F37</f>
        <v>0.1512</v>
      </c>
      <c r="H46" s="411">
        <f>UNICEF!G37</f>
        <v>0.1512</v>
      </c>
      <c r="I46" s="411">
        <f>UNICEF!H37</f>
        <v>0.6048</v>
      </c>
      <c r="J46" s="411">
        <f>UNICEF!I37</f>
        <v>0.66527999999999998</v>
      </c>
      <c r="K46" s="411">
        <f>UNICEF!J37</f>
        <v>0.73180800000000001</v>
      </c>
      <c r="L46" s="411">
        <f>UNICEF!K37</f>
        <v>2.0018880000000001</v>
      </c>
    </row>
    <row r="47" spans="2:12" x14ac:dyDescent="0.3">
      <c r="B47" s="253"/>
      <c r="C47" s="410"/>
      <c r="D47" s="410"/>
      <c r="E47" s="411"/>
      <c r="F47" s="411"/>
      <c r="G47" s="411"/>
      <c r="H47" s="411"/>
      <c r="I47" s="259"/>
      <c r="J47" s="259"/>
      <c r="K47" s="259"/>
      <c r="L47" s="259"/>
    </row>
    <row r="48" spans="2:12" x14ac:dyDescent="0.3">
      <c r="B48" s="253"/>
      <c r="C48" s="410" t="s">
        <v>473</v>
      </c>
      <c r="D48" s="410" t="s">
        <v>461</v>
      </c>
      <c r="E48" s="411">
        <f>I48/4</f>
        <v>9.2662106872222219E-2</v>
      </c>
      <c r="F48" s="411">
        <f>E48</f>
        <v>9.2662106872222219E-2</v>
      </c>
      <c r="G48" s="411">
        <f>F48</f>
        <v>9.2662106872222219E-2</v>
      </c>
      <c r="H48" s="411">
        <f>G48</f>
        <v>9.2662106872222219E-2</v>
      </c>
      <c r="I48" s="421">
        <f>'UNDP '!H42</f>
        <v>0.37064842748888888</v>
      </c>
      <c r="J48" s="421">
        <f>'UNDP '!I42</f>
        <v>1.2133797811913136</v>
      </c>
      <c r="K48" s="421">
        <f>'UNDP '!J42</f>
        <v>1.0326945596695356</v>
      </c>
      <c r="L48" s="421">
        <f>'UNDP '!K42</f>
        <v>2.6167227683497378</v>
      </c>
    </row>
    <row r="49" spans="2:13" x14ac:dyDescent="0.3">
      <c r="B49" s="253"/>
      <c r="C49" s="410" t="s">
        <v>474</v>
      </c>
      <c r="D49" s="410" t="s">
        <v>464</v>
      </c>
      <c r="E49" s="411">
        <f>UNICEF!D39</f>
        <v>0</v>
      </c>
      <c r="F49" s="411">
        <f>UNICEF!E39</f>
        <v>0</v>
      </c>
      <c r="G49" s="411">
        <f>UNICEF!F39</f>
        <v>0</v>
      </c>
      <c r="H49" s="411">
        <f>UNICEF!G39</f>
        <v>0</v>
      </c>
      <c r="I49" s="411">
        <f>UNICEF!H39</f>
        <v>0.84592145015105735</v>
      </c>
      <c r="J49" s="411">
        <f>UNICEF!I39</f>
        <v>0.93051359516616317</v>
      </c>
      <c r="K49" s="411">
        <f>UNICEF!J39</f>
        <v>1.0235649546827794</v>
      </c>
      <c r="L49" s="411">
        <f>UNICEF!K39</f>
        <v>2.8000000000000003</v>
      </c>
    </row>
    <row r="50" spans="2:13" x14ac:dyDescent="0.3">
      <c r="B50" s="253"/>
      <c r="C50" s="410" t="s">
        <v>475</v>
      </c>
      <c r="D50" s="410" t="s">
        <v>458</v>
      </c>
      <c r="E50" s="411">
        <f>I50/4</f>
        <v>0.12502658440740741</v>
      </c>
      <c r="F50" s="411">
        <f>E50</f>
        <v>0.12502658440740741</v>
      </c>
      <c r="G50" s="411">
        <f t="shared" ref="G50:H50" si="6">F50</f>
        <v>0.12502658440740741</v>
      </c>
      <c r="H50" s="411">
        <f t="shared" si="6"/>
        <v>0.12502658440740741</v>
      </c>
      <c r="I50" s="421">
        <f>WHO!H39</f>
        <v>0.50010633762962964</v>
      </c>
      <c r="J50" s="421">
        <f>WHO!I39</f>
        <v>0.58329753699259268</v>
      </c>
      <c r="K50" s="421">
        <f>WHO!J39</f>
        <v>0.68290409509777794</v>
      </c>
      <c r="L50" s="421">
        <f>WHO!K39</f>
        <v>1.7663079697200001</v>
      </c>
      <c r="M50" s="241"/>
    </row>
    <row r="51" spans="2:13" x14ac:dyDescent="0.3">
      <c r="C51" s="531" t="s">
        <v>476</v>
      </c>
      <c r="D51" s="414"/>
      <c r="E51" s="415">
        <f>SUM(E42:E50)</f>
        <v>0.83442413813148153</v>
      </c>
      <c r="F51" s="415">
        <f t="shared" ref="F51:L51" si="7">SUM(F42:F50)</f>
        <v>0.83442413813148153</v>
      </c>
      <c r="G51" s="415">
        <f t="shared" si="7"/>
        <v>0.83442413813148153</v>
      </c>
      <c r="H51" s="415">
        <f t="shared" si="7"/>
        <v>0.83442413813148153</v>
      </c>
      <c r="I51" s="415">
        <f t="shared" si="7"/>
        <v>4.1826116026769835</v>
      </c>
      <c r="J51" s="415">
        <f t="shared" si="7"/>
        <v>5.8314177504746487</v>
      </c>
      <c r="K51" s="415">
        <f t="shared" si="7"/>
        <v>5.7965806258931911</v>
      </c>
      <c r="L51" s="415">
        <f t="shared" si="7"/>
        <v>15.810609979044823</v>
      </c>
    </row>
    <row r="53" spans="2:13" x14ac:dyDescent="0.3">
      <c r="B53" s="422"/>
      <c r="C53" s="423" t="s">
        <v>19</v>
      </c>
      <c r="D53" s="423"/>
      <c r="E53" s="424">
        <f>E16+E20+E27+E32+E39+E51</f>
        <v>3.3615862566500003</v>
      </c>
      <c r="F53" s="424">
        <f t="shared" ref="F53:L53" si="8">F16+F20+F27+F32+F39+F51</f>
        <v>5.5447708245512342</v>
      </c>
      <c r="G53" s="424">
        <f t="shared" si="8"/>
        <v>7.584693750477161</v>
      </c>
      <c r="H53" s="424">
        <f t="shared" si="8"/>
        <v>9.950492824551235</v>
      </c>
      <c r="I53" s="424">
        <f t="shared" si="8"/>
        <v>27.286458706380685</v>
      </c>
      <c r="J53" s="424">
        <f t="shared" si="8"/>
        <v>41.094025855659837</v>
      </c>
      <c r="K53" s="424">
        <f t="shared" si="8"/>
        <v>38.617867894485791</v>
      </c>
      <c r="L53" s="424">
        <f t="shared" si="8"/>
        <v>106.99835245652632</v>
      </c>
    </row>
  </sheetData>
  <mergeCells count="9">
    <mergeCell ref="C33:L33"/>
    <mergeCell ref="C17:L17"/>
    <mergeCell ref="C21:L21"/>
    <mergeCell ref="C28:L28"/>
    <mergeCell ref="E7:H7"/>
    <mergeCell ref="I7:L7"/>
    <mergeCell ref="E8:H8"/>
    <mergeCell ref="I8:L8"/>
    <mergeCell ref="C10:L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T26"/>
  <sheetViews>
    <sheetView zoomScale="60" zoomScaleNormal="60" workbookViewId="0">
      <selection activeCell="C23" sqref="C23"/>
    </sheetView>
  </sheetViews>
  <sheetFormatPr defaultColWidth="10.109375" defaultRowHeight="14.4" x14ac:dyDescent="0.3"/>
  <cols>
    <col min="1" max="1" width="3.109375" style="1" customWidth="1"/>
    <col min="2" max="2" width="8.88671875" style="1" customWidth="1"/>
    <col min="3" max="3" width="37.88671875" style="1" customWidth="1"/>
    <col min="4" max="4" width="13.44140625" style="1" customWidth="1"/>
    <col min="5" max="5" width="13" style="1" bestFit="1" customWidth="1"/>
    <col min="6" max="6" width="16.44140625" style="1" bestFit="1" customWidth="1"/>
    <col min="7" max="7" width="16.44140625" style="1" customWidth="1"/>
    <col min="8" max="8" width="14.5546875" style="1" bestFit="1" customWidth="1"/>
    <col min="9" max="9" width="8.44140625" style="1" customWidth="1"/>
    <col min="10" max="10" width="16.33203125" style="1" customWidth="1"/>
    <col min="11" max="11" width="12.88671875" style="1" customWidth="1"/>
    <col min="12" max="12" width="7.44140625" style="1" bestFit="1" customWidth="1"/>
    <col min="13" max="16" width="12.33203125" style="1" bestFit="1" customWidth="1"/>
    <col min="17" max="17" width="13.5546875" style="1" bestFit="1" customWidth="1"/>
    <col min="18" max="19" width="13.44140625" style="1" bestFit="1" customWidth="1"/>
    <col min="20" max="20" width="16.33203125" style="1" customWidth="1"/>
    <col min="21" max="16384" width="10.109375" style="1"/>
  </cols>
  <sheetData>
    <row r="2" spans="2:20" x14ac:dyDescent="0.3">
      <c r="B2" s="48" t="s">
        <v>538</v>
      </c>
      <c r="C2" s="65" t="s">
        <v>579</v>
      </c>
      <c r="D2" s="62" t="s">
        <v>26</v>
      </c>
      <c r="E2" s="62" t="s">
        <v>27</v>
      </c>
      <c r="F2" s="62" t="s">
        <v>28</v>
      </c>
      <c r="G2" s="62"/>
      <c r="H2" s="62" t="s">
        <v>9</v>
      </c>
    </row>
    <row r="3" spans="2:20" ht="28.5" customHeight="1" x14ac:dyDescent="0.3">
      <c r="B3" s="51"/>
      <c r="C3" s="66" t="s">
        <v>580</v>
      </c>
      <c r="D3" s="67">
        <f>Q16</f>
        <v>604800</v>
      </c>
      <c r="E3" s="67">
        <f t="shared" ref="E3:F3" si="0">R16</f>
        <v>665280</v>
      </c>
      <c r="F3" s="67">
        <f t="shared" si="0"/>
        <v>731808</v>
      </c>
      <c r="G3" s="67"/>
      <c r="H3" s="67">
        <f>D3+E3+F3</f>
        <v>2001888</v>
      </c>
    </row>
    <row r="4" spans="2:20" x14ac:dyDescent="0.3">
      <c r="B4" s="51"/>
      <c r="C4" s="68" t="s">
        <v>10</v>
      </c>
      <c r="D4" s="69">
        <f>D3</f>
        <v>604800</v>
      </c>
      <c r="E4" s="69">
        <f t="shared" ref="E4:H4" si="1">E3</f>
        <v>665280</v>
      </c>
      <c r="F4" s="69">
        <f t="shared" si="1"/>
        <v>731808</v>
      </c>
      <c r="G4" s="69"/>
      <c r="H4" s="69">
        <f t="shared" si="1"/>
        <v>2001888</v>
      </c>
    </row>
    <row r="5" spans="2:20" x14ac:dyDescent="0.3">
      <c r="B5" s="135"/>
      <c r="C5" s="71"/>
      <c r="D5" s="72"/>
      <c r="E5" s="72"/>
      <c r="F5" s="72"/>
      <c r="G5" s="72"/>
      <c r="H5" s="72"/>
    </row>
    <row r="6" spans="2:20" x14ac:dyDescent="0.3">
      <c r="B6" s="794" t="s">
        <v>34</v>
      </c>
      <c r="C6" s="794"/>
      <c r="D6" s="794"/>
      <c r="E6" s="794"/>
      <c r="F6" s="794"/>
      <c r="G6" s="794"/>
      <c r="H6" s="794"/>
      <c r="I6" s="794"/>
      <c r="J6" s="794"/>
      <c r="K6" s="794"/>
      <c r="L6" s="3"/>
      <c r="M6" s="3"/>
      <c r="N6" s="3"/>
      <c r="O6" s="3"/>
      <c r="P6" s="3"/>
      <c r="Q6" s="3"/>
      <c r="R6" s="3"/>
      <c r="S6" s="3"/>
      <c r="T6" s="3"/>
    </row>
    <row r="7" spans="2:20" x14ac:dyDescent="0.3">
      <c r="B7" s="51"/>
      <c r="C7" s="73"/>
      <c r="D7" s="74"/>
      <c r="E7" s="74"/>
      <c r="F7" s="74"/>
      <c r="G7" s="74"/>
      <c r="H7" s="74"/>
      <c r="I7" s="3"/>
      <c r="J7" s="3"/>
      <c r="K7" s="3"/>
      <c r="L7" s="3"/>
      <c r="M7" s="782" t="s">
        <v>26</v>
      </c>
      <c r="N7" s="782"/>
      <c r="O7" s="782"/>
      <c r="P7" s="782"/>
      <c r="Q7" s="136" t="s">
        <v>26</v>
      </c>
      <c r="R7" s="137" t="s">
        <v>27</v>
      </c>
      <c r="S7" s="137" t="s">
        <v>28</v>
      </c>
      <c r="T7" s="77" t="s">
        <v>19</v>
      </c>
    </row>
    <row r="8" spans="2:20" x14ac:dyDescent="0.3">
      <c r="B8" s="78"/>
      <c r="C8" s="73"/>
      <c r="D8" s="74"/>
      <c r="E8" s="74"/>
      <c r="F8" s="74"/>
      <c r="G8" s="74"/>
      <c r="H8" s="74"/>
      <c r="I8" s="79"/>
      <c r="J8" s="3"/>
      <c r="K8" s="3"/>
      <c r="L8" s="3"/>
      <c r="M8" s="80" t="s">
        <v>36</v>
      </c>
      <c r="N8" s="80" t="s">
        <v>37</v>
      </c>
      <c r="O8" s="80" t="s">
        <v>38</v>
      </c>
      <c r="P8" s="80" t="s">
        <v>39</v>
      </c>
      <c r="Q8" s="136" t="s">
        <v>9</v>
      </c>
      <c r="R8" s="137" t="s">
        <v>9</v>
      </c>
      <c r="S8" s="137" t="s">
        <v>9</v>
      </c>
      <c r="T8" s="77"/>
    </row>
    <row r="9" spans="2:20" x14ac:dyDescent="0.3">
      <c r="B9" s="795" t="s">
        <v>538</v>
      </c>
      <c r="C9" s="796"/>
      <c r="D9" s="796"/>
      <c r="E9" s="796"/>
      <c r="F9" s="796"/>
      <c r="G9" s="796"/>
      <c r="H9" s="796"/>
      <c r="I9" s="796"/>
      <c r="J9" s="796"/>
      <c r="K9" s="797"/>
      <c r="L9" s="3"/>
      <c r="M9" s="3"/>
      <c r="N9" s="3"/>
      <c r="O9" s="3"/>
      <c r="P9" s="3"/>
      <c r="Q9" s="138"/>
      <c r="R9" s="138"/>
      <c r="S9" s="138"/>
      <c r="T9" s="83"/>
    </row>
    <row r="10" spans="2:20" x14ac:dyDescent="0.3">
      <c r="B10" s="139">
        <v>1</v>
      </c>
      <c r="C10" s="787" t="s">
        <v>580</v>
      </c>
      <c r="D10" s="788"/>
      <c r="E10" s="788"/>
      <c r="F10" s="788"/>
      <c r="G10" s="788"/>
      <c r="H10" s="788"/>
      <c r="I10" s="788"/>
      <c r="J10" s="788"/>
      <c r="K10" s="789"/>
      <c r="L10" s="3"/>
      <c r="M10" s="3">
        <v>18</v>
      </c>
      <c r="N10" s="3">
        <v>18</v>
      </c>
      <c r="O10" s="3">
        <v>18</v>
      </c>
      <c r="P10" s="3">
        <v>18</v>
      </c>
      <c r="Q10" s="138">
        <v>18</v>
      </c>
      <c r="R10" s="138">
        <v>18</v>
      </c>
      <c r="S10" s="138">
        <v>18</v>
      </c>
      <c r="T10" s="83">
        <v>18</v>
      </c>
    </row>
    <row r="12" spans="2:20" s="2" customFormat="1" x14ac:dyDescent="0.3">
      <c r="M12" s="778" t="s">
        <v>26</v>
      </c>
      <c r="N12" s="778"/>
      <c r="O12" s="778"/>
      <c r="P12" s="778"/>
      <c r="Q12" s="140" t="s">
        <v>26</v>
      </c>
      <c r="R12" s="141" t="s">
        <v>27</v>
      </c>
      <c r="S12" s="141" t="s">
        <v>28</v>
      </c>
      <c r="T12" s="86" t="s">
        <v>19</v>
      </c>
    </row>
    <row r="13" spans="2:20" x14ac:dyDescent="0.3">
      <c r="B13" s="790" t="s">
        <v>581</v>
      </c>
      <c r="C13" s="790"/>
      <c r="D13" s="790"/>
      <c r="E13" s="790"/>
      <c r="F13" s="790"/>
      <c r="G13" s="790"/>
      <c r="H13" s="790"/>
      <c r="I13" s="790"/>
      <c r="J13" s="790"/>
      <c r="K13" s="790"/>
      <c r="L13" s="3"/>
      <c r="M13" s="80" t="s">
        <v>36</v>
      </c>
      <c r="N13" s="80" t="s">
        <v>37</v>
      </c>
      <c r="O13" s="80" t="s">
        <v>38</v>
      </c>
      <c r="P13" s="80" t="s">
        <v>39</v>
      </c>
      <c r="Q13" s="136" t="s">
        <v>9</v>
      </c>
      <c r="R13" s="142" t="s">
        <v>9</v>
      </c>
      <c r="S13" s="142" t="s">
        <v>9</v>
      </c>
      <c r="T13" s="77"/>
    </row>
    <row r="14" spans="2:20" ht="28.8" x14ac:dyDescent="0.3">
      <c r="B14" s="87"/>
      <c r="C14" s="87" t="s">
        <v>145</v>
      </c>
      <c r="D14" s="87" t="s">
        <v>79</v>
      </c>
      <c r="E14" s="87" t="s">
        <v>80</v>
      </c>
      <c r="F14" s="87" t="s">
        <v>146</v>
      </c>
      <c r="G14" s="87" t="s">
        <v>53</v>
      </c>
      <c r="H14" s="87" t="s">
        <v>147</v>
      </c>
      <c r="I14" s="87" t="s">
        <v>148</v>
      </c>
      <c r="J14" s="88" t="s">
        <v>65</v>
      </c>
      <c r="K14" s="88" t="s">
        <v>81</v>
      </c>
      <c r="L14" s="3"/>
      <c r="M14" s="89"/>
      <c r="N14" s="89"/>
      <c r="O14" s="89"/>
      <c r="P14" s="89"/>
      <c r="Q14" s="142"/>
      <c r="R14" s="142"/>
      <c r="S14" s="142"/>
      <c r="T14" s="77"/>
    </row>
    <row r="15" spans="2:20" ht="52.5" customHeight="1" x14ac:dyDescent="0.3">
      <c r="B15" s="90">
        <v>1</v>
      </c>
      <c r="C15" s="66" t="s">
        <v>585</v>
      </c>
      <c r="D15" s="90"/>
      <c r="E15" s="91">
        <v>18</v>
      </c>
      <c r="F15" s="92">
        <v>378000</v>
      </c>
      <c r="G15" s="92">
        <v>40</v>
      </c>
      <c r="H15" s="90">
        <v>12</v>
      </c>
      <c r="I15" s="90">
        <v>1</v>
      </c>
      <c r="J15" s="93">
        <f>E15*F15*H15*I15*G15/100</f>
        <v>32659200</v>
      </c>
      <c r="K15" s="94">
        <f t="shared" ref="K15" si="2">J15/54</f>
        <v>604800</v>
      </c>
      <c r="L15" s="3"/>
      <c r="M15" s="89">
        <f>K15/4</f>
        <v>151200</v>
      </c>
      <c r="N15" s="89">
        <f>K15/4</f>
        <v>151200</v>
      </c>
      <c r="O15" s="89">
        <f>K15/4</f>
        <v>151200</v>
      </c>
      <c r="P15" s="89">
        <f>K15/4</f>
        <v>151200</v>
      </c>
      <c r="Q15" s="142">
        <f>M15+N15+O15+P15</f>
        <v>604800</v>
      </c>
      <c r="R15" s="142">
        <f>K15*1.1</f>
        <v>665280</v>
      </c>
      <c r="S15" s="142">
        <f>K15*1.21</f>
        <v>731808</v>
      </c>
      <c r="T15" s="77">
        <f>Q15+R15+S15</f>
        <v>2001888</v>
      </c>
    </row>
    <row r="16" spans="2:20" s="97" customFormat="1" x14ac:dyDescent="0.3">
      <c r="B16" s="98"/>
      <c r="C16" s="98" t="s">
        <v>56</v>
      </c>
      <c r="D16" s="98"/>
      <c r="E16" s="98"/>
      <c r="F16" s="98"/>
      <c r="G16" s="98"/>
      <c r="H16" s="98"/>
      <c r="I16" s="98"/>
      <c r="J16" s="99">
        <f>SUM(J15:J15)</f>
        <v>32659200</v>
      </c>
      <c r="K16" s="99">
        <f>SUM(K15:K15)</f>
        <v>604800</v>
      </c>
      <c r="L16" s="98"/>
      <c r="M16" s="100">
        <f>M15</f>
        <v>151200</v>
      </c>
      <c r="N16" s="100">
        <f t="shared" ref="N16:T16" si="3">N15</f>
        <v>151200</v>
      </c>
      <c r="O16" s="100">
        <f t="shared" si="3"/>
        <v>151200</v>
      </c>
      <c r="P16" s="100">
        <f t="shared" si="3"/>
        <v>151200</v>
      </c>
      <c r="Q16" s="100">
        <f t="shared" si="3"/>
        <v>604800</v>
      </c>
      <c r="R16" s="100">
        <f t="shared" si="3"/>
        <v>665280</v>
      </c>
      <c r="S16" s="100">
        <f t="shared" si="3"/>
        <v>731808</v>
      </c>
      <c r="T16" s="100">
        <f t="shared" si="3"/>
        <v>2001888</v>
      </c>
    </row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</sheetData>
  <mergeCells count="6">
    <mergeCell ref="B13:K13"/>
    <mergeCell ref="B6:K6"/>
    <mergeCell ref="M7:P7"/>
    <mergeCell ref="B9:K9"/>
    <mergeCell ref="C10:K10"/>
    <mergeCell ref="M12:P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V104"/>
  <sheetViews>
    <sheetView tabSelected="1" topLeftCell="A28" zoomScale="80" zoomScaleNormal="80" zoomScalePageLayoutView="80" workbookViewId="0">
      <selection activeCell="K40" sqref="K40"/>
    </sheetView>
  </sheetViews>
  <sheetFormatPr defaultColWidth="12.44140625" defaultRowHeight="14.4" x14ac:dyDescent="0.3"/>
  <cols>
    <col min="1" max="1" width="2.44140625" style="1" customWidth="1"/>
    <col min="2" max="2" width="7.44140625" style="1" customWidth="1"/>
    <col min="3" max="3" width="80.109375" style="40" customWidth="1"/>
    <col min="4" max="7" width="10.6640625" style="41" customWidth="1"/>
    <col min="8" max="11" width="7.44140625" style="1" customWidth="1"/>
    <col min="12" max="12" width="2.6640625" style="1" customWidth="1"/>
    <col min="13" max="255" width="12.44140625" style="1"/>
    <col min="256" max="256" width="2.44140625" style="1" customWidth="1"/>
    <col min="257" max="257" width="7.44140625" style="1" customWidth="1"/>
    <col min="258" max="258" width="71.109375" style="1" customWidth="1"/>
    <col min="259" max="263" width="0" style="1" hidden="1" customWidth="1"/>
    <col min="264" max="267" width="7.44140625" style="1" customWidth="1"/>
    <col min="268" max="268" width="2.6640625" style="1" customWidth="1"/>
    <col min="269" max="511" width="12.44140625" style="1"/>
    <col min="512" max="512" width="2.44140625" style="1" customWidth="1"/>
    <col min="513" max="513" width="7.44140625" style="1" customWidth="1"/>
    <col min="514" max="514" width="71.109375" style="1" customWidth="1"/>
    <col min="515" max="519" width="0" style="1" hidden="1" customWidth="1"/>
    <col min="520" max="523" width="7.44140625" style="1" customWidth="1"/>
    <col min="524" max="524" width="2.6640625" style="1" customWidth="1"/>
    <col min="525" max="767" width="12.44140625" style="1"/>
    <col min="768" max="768" width="2.44140625" style="1" customWidth="1"/>
    <col min="769" max="769" width="7.44140625" style="1" customWidth="1"/>
    <col min="770" max="770" width="71.109375" style="1" customWidth="1"/>
    <col min="771" max="775" width="0" style="1" hidden="1" customWidth="1"/>
    <col min="776" max="779" width="7.44140625" style="1" customWidth="1"/>
    <col min="780" max="780" width="2.6640625" style="1" customWidth="1"/>
    <col min="781" max="1023" width="12.44140625" style="1"/>
    <col min="1024" max="1024" width="2.44140625" style="1" customWidth="1"/>
    <col min="1025" max="1025" width="7.44140625" style="1" customWidth="1"/>
    <col min="1026" max="1026" width="71.109375" style="1" customWidth="1"/>
    <col min="1027" max="1031" width="0" style="1" hidden="1" customWidth="1"/>
    <col min="1032" max="1035" width="7.44140625" style="1" customWidth="1"/>
    <col min="1036" max="1036" width="2.6640625" style="1" customWidth="1"/>
    <col min="1037" max="1279" width="12.44140625" style="1"/>
    <col min="1280" max="1280" width="2.44140625" style="1" customWidth="1"/>
    <col min="1281" max="1281" width="7.44140625" style="1" customWidth="1"/>
    <col min="1282" max="1282" width="71.109375" style="1" customWidth="1"/>
    <col min="1283" max="1287" width="0" style="1" hidden="1" customWidth="1"/>
    <col min="1288" max="1291" width="7.44140625" style="1" customWidth="1"/>
    <col min="1292" max="1292" width="2.6640625" style="1" customWidth="1"/>
    <col min="1293" max="1535" width="12.44140625" style="1"/>
    <col min="1536" max="1536" width="2.44140625" style="1" customWidth="1"/>
    <col min="1537" max="1537" width="7.44140625" style="1" customWidth="1"/>
    <col min="1538" max="1538" width="71.109375" style="1" customWidth="1"/>
    <col min="1539" max="1543" width="0" style="1" hidden="1" customWidth="1"/>
    <col min="1544" max="1547" width="7.44140625" style="1" customWidth="1"/>
    <col min="1548" max="1548" width="2.6640625" style="1" customWidth="1"/>
    <col min="1549" max="1791" width="12.44140625" style="1"/>
    <col min="1792" max="1792" width="2.44140625" style="1" customWidth="1"/>
    <col min="1793" max="1793" width="7.44140625" style="1" customWidth="1"/>
    <col min="1794" max="1794" width="71.109375" style="1" customWidth="1"/>
    <col min="1795" max="1799" width="0" style="1" hidden="1" customWidth="1"/>
    <col min="1800" max="1803" width="7.44140625" style="1" customWidth="1"/>
    <col min="1804" max="1804" width="2.6640625" style="1" customWidth="1"/>
    <col min="1805" max="2047" width="12.44140625" style="1"/>
    <col min="2048" max="2048" width="2.44140625" style="1" customWidth="1"/>
    <col min="2049" max="2049" width="7.44140625" style="1" customWidth="1"/>
    <col min="2050" max="2050" width="71.109375" style="1" customWidth="1"/>
    <col min="2051" max="2055" width="0" style="1" hidden="1" customWidth="1"/>
    <col min="2056" max="2059" width="7.44140625" style="1" customWidth="1"/>
    <col min="2060" max="2060" width="2.6640625" style="1" customWidth="1"/>
    <col min="2061" max="2303" width="12.44140625" style="1"/>
    <col min="2304" max="2304" width="2.44140625" style="1" customWidth="1"/>
    <col min="2305" max="2305" width="7.44140625" style="1" customWidth="1"/>
    <col min="2306" max="2306" width="71.109375" style="1" customWidth="1"/>
    <col min="2307" max="2311" width="0" style="1" hidden="1" customWidth="1"/>
    <col min="2312" max="2315" width="7.44140625" style="1" customWidth="1"/>
    <col min="2316" max="2316" width="2.6640625" style="1" customWidth="1"/>
    <col min="2317" max="2559" width="12.44140625" style="1"/>
    <col min="2560" max="2560" width="2.44140625" style="1" customWidth="1"/>
    <col min="2561" max="2561" width="7.44140625" style="1" customWidth="1"/>
    <col min="2562" max="2562" width="71.109375" style="1" customWidth="1"/>
    <col min="2563" max="2567" width="0" style="1" hidden="1" customWidth="1"/>
    <col min="2568" max="2571" width="7.44140625" style="1" customWidth="1"/>
    <col min="2572" max="2572" width="2.6640625" style="1" customWidth="1"/>
    <col min="2573" max="2815" width="12.44140625" style="1"/>
    <col min="2816" max="2816" width="2.44140625" style="1" customWidth="1"/>
    <col min="2817" max="2817" width="7.44140625" style="1" customWidth="1"/>
    <col min="2818" max="2818" width="71.109375" style="1" customWidth="1"/>
    <col min="2819" max="2823" width="0" style="1" hidden="1" customWidth="1"/>
    <col min="2824" max="2827" width="7.44140625" style="1" customWidth="1"/>
    <col min="2828" max="2828" width="2.6640625" style="1" customWidth="1"/>
    <col min="2829" max="3071" width="12.44140625" style="1"/>
    <col min="3072" max="3072" width="2.44140625" style="1" customWidth="1"/>
    <col min="3073" max="3073" width="7.44140625" style="1" customWidth="1"/>
    <col min="3074" max="3074" width="71.109375" style="1" customWidth="1"/>
    <col min="3075" max="3079" width="0" style="1" hidden="1" customWidth="1"/>
    <col min="3080" max="3083" width="7.44140625" style="1" customWidth="1"/>
    <col min="3084" max="3084" width="2.6640625" style="1" customWidth="1"/>
    <col min="3085" max="3327" width="12.44140625" style="1"/>
    <col min="3328" max="3328" width="2.44140625" style="1" customWidth="1"/>
    <col min="3329" max="3329" width="7.44140625" style="1" customWidth="1"/>
    <col min="3330" max="3330" width="71.109375" style="1" customWidth="1"/>
    <col min="3331" max="3335" width="0" style="1" hidden="1" customWidth="1"/>
    <col min="3336" max="3339" width="7.44140625" style="1" customWidth="1"/>
    <col min="3340" max="3340" width="2.6640625" style="1" customWidth="1"/>
    <col min="3341" max="3583" width="12.44140625" style="1"/>
    <col min="3584" max="3584" width="2.44140625" style="1" customWidth="1"/>
    <col min="3585" max="3585" width="7.44140625" style="1" customWidth="1"/>
    <col min="3586" max="3586" width="71.109375" style="1" customWidth="1"/>
    <col min="3587" max="3591" width="0" style="1" hidden="1" customWidth="1"/>
    <col min="3592" max="3595" width="7.44140625" style="1" customWidth="1"/>
    <col min="3596" max="3596" width="2.6640625" style="1" customWidth="1"/>
    <col min="3597" max="3839" width="12.44140625" style="1"/>
    <col min="3840" max="3840" width="2.44140625" style="1" customWidth="1"/>
    <col min="3841" max="3841" width="7.44140625" style="1" customWidth="1"/>
    <col min="3842" max="3842" width="71.109375" style="1" customWidth="1"/>
    <col min="3843" max="3847" width="0" style="1" hidden="1" customWidth="1"/>
    <col min="3848" max="3851" width="7.44140625" style="1" customWidth="1"/>
    <col min="3852" max="3852" width="2.6640625" style="1" customWidth="1"/>
    <col min="3853" max="4095" width="12.44140625" style="1"/>
    <col min="4096" max="4096" width="2.44140625" style="1" customWidth="1"/>
    <col min="4097" max="4097" width="7.44140625" style="1" customWidth="1"/>
    <col min="4098" max="4098" width="71.109375" style="1" customWidth="1"/>
    <col min="4099" max="4103" width="0" style="1" hidden="1" customWidth="1"/>
    <col min="4104" max="4107" width="7.44140625" style="1" customWidth="1"/>
    <col min="4108" max="4108" width="2.6640625" style="1" customWidth="1"/>
    <col min="4109" max="4351" width="12.44140625" style="1"/>
    <col min="4352" max="4352" width="2.44140625" style="1" customWidth="1"/>
    <col min="4353" max="4353" width="7.44140625" style="1" customWidth="1"/>
    <col min="4354" max="4354" width="71.109375" style="1" customWidth="1"/>
    <col min="4355" max="4359" width="0" style="1" hidden="1" customWidth="1"/>
    <col min="4360" max="4363" width="7.44140625" style="1" customWidth="1"/>
    <col min="4364" max="4364" width="2.6640625" style="1" customWidth="1"/>
    <col min="4365" max="4607" width="12.44140625" style="1"/>
    <col min="4608" max="4608" width="2.44140625" style="1" customWidth="1"/>
    <col min="4609" max="4609" width="7.44140625" style="1" customWidth="1"/>
    <col min="4610" max="4610" width="71.109375" style="1" customWidth="1"/>
    <col min="4611" max="4615" width="0" style="1" hidden="1" customWidth="1"/>
    <col min="4616" max="4619" width="7.44140625" style="1" customWidth="1"/>
    <col min="4620" max="4620" width="2.6640625" style="1" customWidth="1"/>
    <col min="4621" max="4863" width="12.44140625" style="1"/>
    <col min="4864" max="4864" width="2.44140625" style="1" customWidth="1"/>
    <col min="4865" max="4865" width="7.44140625" style="1" customWidth="1"/>
    <col min="4866" max="4866" width="71.109375" style="1" customWidth="1"/>
    <col min="4867" max="4871" width="0" style="1" hidden="1" customWidth="1"/>
    <col min="4872" max="4875" width="7.44140625" style="1" customWidth="1"/>
    <col min="4876" max="4876" width="2.6640625" style="1" customWidth="1"/>
    <col min="4877" max="5119" width="12.44140625" style="1"/>
    <col min="5120" max="5120" width="2.44140625" style="1" customWidth="1"/>
    <col min="5121" max="5121" width="7.44140625" style="1" customWidth="1"/>
    <col min="5122" max="5122" width="71.109375" style="1" customWidth="1"/>
    <col min="5123" max="5127" width="0" style="1" hidden="1" customWidth="1"/>
    <col min="5128" max="5131" width="7.44140625" style="1" customWidth="1"/>
    <col min="5132" max="5132" width="2.6640625" style="1" customWidth="1"/>
    <col min="5133" max="5375" width="12.44140625" style="1"/>
    <col min="5376" max="5376" width="2.44140625" style="1" customWidth="1"/>
    <col min="5377" max="5377" width="7.44140625" style="1" customWidth="1"/>
    <col min="5378" max="5378" width="71.109375" style="1" customWidth="1"/>
    <col min="5379" max="5383" width="0" style="1" hidden="1" customWidth="1"/>
    <col min="5384" max="5387" width="7.44140625" style="1" customWidth="1"/>
    <col min="5388" max="5388" width="2.6640625" style="1" customWidth="1"/>
    <col min="5389" max="5631" width="12.44140625" style="1"/>
    <col min="5632" max="5632" width="2.44140625" style="1" customWidth="1"/>
    <col min="5633" max="5633" width="7.44140625" style="1" customWidth="1"/>
    <col min="5634" max="5634" width="71.109375" style="1" customWidth="1"/>
    <col min="5635" max="5639" width="0" style="1" hidden="1" customWidth="1"/>
    <col min="5640" max="5643" width="7.44140625" style="1" customWidth="1"/>
    <col min="5644" max="5644" width="2.6640625" style="1" customWidth="1"/>
    <col min="5645" max="5887" width="12.44140625" style="1"/>
    <col min="5888" max="5888" width="2.44140625" style="1" customWidth="1"/>
    <col min="5889" max="5889" width="7.44140625" style="1" customWidth="1"/>
    <col min="5890" max="5890" width="71.109375" style="1" customWidth="1"/>
    <col min="5891" max="5895" width="0" style="1" hidden="1" customWidth="1"/>
    <col min="5896" max="5899" width="7.44140625" style="1" customWidth="1"/>
    <col min="5900" max="5900" width="2.6640625" style="1" customWidth="1"/>
    <col min="5901" max="6143" width="12.44140625" style="1"/>
    <col min="6144" max="6144" width="2.44140625" style="1" customWidth="1"/>
    <col min="6145" max="6145" width="7.44140625" style="1" customWidth="1"/>
    <col min="6146" max="6146" width="71.109375" style="1" customWidth="1"/>
    <col min="6147" max="6151" width="0" style="1" hidden="1" customWidth="1"/>
    <col min="6152" max="6155" width="7.44140625" style="1" customWidth="1"/>
    <col min="6156" max="6156" width="2.6640625" style="1" customWidth="1"/>
    <col min="6157" max="6399" width="12.44140625" style="1"/>
    <col min="6400" max="6400" width="2.44140625" style="1" customWidth="1"/>
    <col min="6401" max="6401" width="7.44140625" style="1" customWidth="1"/>
    <col min="6402" max="6402" width="71.109375" style="1" customWidth="1"/>
    <col min="6403" max="6407" width="0" style="1" hidden="1" customWidth="1"/>
    <col min="6408" max="6411" width="7.44140625" style="1" customWidth="1"/>
    <col min="6412" max="6412" width="2.6640625" style="1" customWidth="1"/>
    <col min="6413" max="6655" width="12.44140625" style="1"/>
    <col min="6656" max="6656" width="2.44140625" style="1" customWidth="1"/>
    <col min="6657" max="6657" width="7.44140625" style="1" customWidth="1"/>
    <col min="6658" max="6658" width="71.109375" style="1" customWidth="1"/>
    <col min="6659" max="6663" width="0" style="1" hidden="1" customWidth="1"/>
    <col min="6664" max="6667" width="7.44140625" style="1" customWidth="1"/>
    <col min="6668" max="6668" width="2.6640625" style="1" customWidth="1"/>
    <col min="6669" max="6911" width="12.44140625" style="1"/>
    <col min="6912" max="6912" width="2.44140625" style="1" customWidth="1"/>
    <col min="6913" max="6913" width="7.44140625" style="1" customWidth="1"/>
    <col min="6914" max="6914" width="71.109375" style="1" customWidth="1"/>
    <col min="6915" max="6919" width="0" style="1" hidden="1" customWidth="1"/>
    <col min="6920" max="6923" width="7.44140625" style="1" customWidth="1"/>
    <col min="6924" max="6924" width="2.6640625" style="1" customWidth="1"/>
    <col min="6925" max="7167" width="12.44140625" style="1"/>
    <col min="7168" max="7168" width="2.44140625" style="1" customWidth="1"/>
    <col min="7169" max="7169" width="7.44140625" style="1" customWidth="1"/>
    <col min="7170" max="7170" width="71.109375" style="1" customWidth="1"/>
    <col min="7171" max="7175" width="0" style="1" hidden="1" customWidth="1"/>
    <col min="7176" max="7179" width="7.44140625" style="1" customWidth="1"/>
    <col min="7180" max="7180" width="2.6640625" style="1" customWidth="1"/>
    <col min="7181" max="7423" width="12.44140625" style="1"/>
    <col min="7424" max="7424" width="2.44140625" style="1" customWidth="1"/>
    <col min="7425" max="7425" width="7.44140625" style="1" customWidth="1"/>
    <col min="7426" max="7426" width="71.109375" style="1" customWidth="1"/>
    <col min="7427" max="7431" width="0" style="1" hidden="1" customWidth="1"/>
    <col min="7432" max="7435" width="7.44140625" style="1" customWidth="1"/>
    <col min="7436" max="7436" width="2.6640625" style="1" customWidth="1"/>
    <col min="7437" max="7679" width="12.44140625" style="1"/>
    <col min="7680" max="7680" width="2.44140625" style="1" customWidth="1"/>
    <col min="7681" max="7681" width="7.44140625" style="1" customWidth="1"/>
    <col min="7682" max="7682" width="71.109375" style="1" customWidth="1"/>
    <col min="7683" max="7687" width="0" style="1" hidden="1" customWidth="1"/>
    <col min="7688" max="7691" width="7.44140625" style="1" customWidth="1"/>
    <col min="7692" max="7692" width="2.6640625" style="1" customWidth="1"/>
    <col min="7693" max="7935" width="12.44140625" style="1"/>
    <col min="7936" max="7936" width="2.44140625" style="1" customWidth="1"/>
    <col min="7937" max="7937" width="7.44140625" style="1" customWidth="1"/>
    <col min="7938" max="7938" width="71.109375" style="1" customWidth="1"/>
    <col min="7939" max="7943" width="0" style="1" hidden="1" customWidth="1"/>
    <col min="7944" max="7947" width="7.44140625" style="1" customWidth="1"/>
    <col min="7948" max="7948" width="2.6640625" style="1" customWidth="1"/>
    <col min="7949" max="8191" width="12.44140625" style="1"/>
    <col min="8192" max="8192" width="2.44140625" style="1" customWidth="1"/>
    <col min="8193" max="8193" width="7.44140625" style="1" customWidth="1"/>
    <col min="8194" max="8194" width="71.109375" style="1" customWidth="1"/>
    <col min="8195" max="8199" width="0" style="1" hidden="1" customWidth="1"/>
    <col min="8200" max="8203" width="7.44140625" style="1" customWidth="1"/>
    <col min="8204" max="8204" width="2.6640625" style="1" customWidth="1"/>
    <col min="8205" max="8447" width="12.44140625" style="1"/>
    <col min="8448" max="8448" width="2.44140625" style="1" customWidth="1"/>
    <col min="8449" max="8449" width="7.44140625" style="1" customWidth="1"/>
    <col min="8450" max="8450" width="71.109375" style="1" customWidth="1"/>
    <col min="8451" max="8455" width="0" style="1" hidden="1" customWidth="1"/>
    <col min="8456" max="8459" width="7.44140625" style="1" customWidth="1"/>
    <col min="8460" max="8460" width="2.6640625" style="1" customWidth="1"/>
    <col min="8461" max="8703" width="12.44140625" style="1"/>
    <col min="8704" max="8704" width="2.44140625" style="1" customWidth="1"/>
    <col min="8705" max="8705" width="7.44140625" style="1" customWidth="1"/>
    <col min="8706" max="8706" width="71.109375" style="1" customWidth="1"/>
    <col min="8707" max="8711" width="0" style="1" hidden="1" customWidth="1"/>
    <col min="8712" max="8715" width="7.44140625" style="1" customWidth="1"/>
    <col min="8716" max="8716" width="2.6640625" style="1" customWidth="1"/>
    <col min="8717" max="8959" width="12.44140625" style="1"/>
    <col min="8960" max="8960" width="2.44140625" style="1" customWidth="1"/>
    <col min="8961" max="8961" width="7.44140625" style="1" customWidth="1"/>
    <col min="8962" max="8962" width="71.109375" style="1" customWidth="1"/>
    <col min="8963" max="8967" width="0" style="1" hidden="1" customWidth="1"/>
    <col min="8968" max="8971" width="7.44140625" style="1" customWidth="1"/>
    <col min="8972" max="8972" width="2.6640625" style="1" customWidth="1"/>
    <col min="8973" max="9215" width="12.44140625" style="1"/>
    <col min="9216" max="9216" width="2.44140625" style="1" customWidth="1"/>
    <col min="9217" max="9217" width="7.44140625" style="1" customWidth="1"/>
    <col min="9218" max="9218" width="71.109375" style="1" customWidth="1"/>
    <col min="9219" max="9223" width="0" style="1" hidden="1" customWidth="1"/>
    <col min="9224" max="9227" width="7.44140625" style="1" customWidth="1"/>
    <col min="9228" max="9228" width="2.6640625" style="1" customWidth="1"/>
    <col min="9229" max="9471" width="12.44140625" style="1"/>
    <col min="9472" max="9472" width="2.44140625" style="1" customWidth="1"/>
    <col min="9473" max="9473" width="7.44140625" style="1" customWidth="1"/>
    <col min="9474" max="9474" width="71.109375" style="1" customWidth="1"/>
    <col min="9475" max="9479" width="0" style="1" hidden="1" customWidth="1"/>
    <col min="9480" max="9483" width="7.44140625" style="1" customWidth="1"/>
    <col min="9484" max="9484" width="2.6640625" style="1" customWidth="1"/>
    <col min="9485" max="9727" width="12.44140625" style="1"/>
    <col min="9728" max="9728" width="2.44140625" style="1" customWidth="1"/>
    <col min="9729" max="9729" width="7.44140625" style="1" customWidth="1"/>
    <col min="9730" max="9730" width="71.109375" style="1" customWidth="1"/>
    <col min="9731" max="9735" width="0" style="1" hidden="1" customWidth="1"/>
    <col min="9736" max="9739" width="7.44140625" style="1" customWidth="1"/>
    <col min="9740" max="9740" width="2.6640625" style="1" customWidth="1"/>
    <col min="9741" max="9983" width="12.44140625" style="1"/>
    <col min="9984" max="9984" width="2.44140625" style="1" customWidth="1"/>
    <col min="9985" max="9985" width="7.44140625" style="1" customWidth="1"/>
    <col min="9986" max="9986" width="71.109375" style="1" customWidth="1"/>
    <col min="9987" max="9991" width="0" style="1" hidden="1" customWidth="1"/>
    <col min="9992" max="9995" width="7.44140625" style="1" customWidth="1"/>
    <col min="9996" max="9996" width="2.6640625" style="1" customWidth="1"/>
    <col min="9997" max="10239" width="12.44140625" style="1"/>
    <col min="10240" max="10240" width="2.44140625" style="1" customWidth="1"/>
    <col min="10241" max="10241" width="7.44140625" style="1" customWidth="1"/>
    <col min="10242" max="10242" width="71.109375" style="1" customWidth="1"/>
    <col min="10243" max="10247" width="0" style="1" hidden="1" customWidth="1"/>
    <col min="10248" max="10251" width="7.44140625" style="1" customWidth="1"/>
    <col min="10252" max="10252" width="2.6640625" style="1" customWidth="1"/>
    <col min="10253" max="10495" width="12.44140625" style="1"/>
    <col min="10496" max="10496" width="2.44140625" style="1" customWidth="1"/>
    <col min="10497" max="10497" width="7.44140625" style="1" customWidth="1"/>
    <col min="10498" max="10498" width="71.109375" style="1" customWidth="1"/>
    <col min="10499" max="10503" width="0" style="1" hidden="1" customWidth="1"/>
    <col min="10504" max="10507" width="7.44140625" style="1" customWidth="1"/>
    <col min="10508" max="10508" width="2.6640625" style="1" customWidth="1"/>
    <col min="10509" max="10751" width="12.44140625" style="1"/>
    <col min="10752" max="10752" width="2.44140625" style="1" customWidth="1"/>
    <col min="10753" max="10753" width="7.44140625" style="1" customWidth="1"/>
    <col min="10754" max="10754" width="71.109375" style="1" customWidth="1"/>
    <col min="10755" max="10759" width="0" style="1" hidden="1" customWidth="1"/>
    <col min="10760" max="10763" width="7.44140625" style="1" customWidth="1"/>
    <col min="10764" max="10764" width="2.6640625" style="1" customWidth="1"/>
    <col min="10765" max="11007" width="12.44140625" style="1"/>
    <col min="11008" max="11008" width="2.44140625" style="1" customWidth="1"/>
    <col min="11009" max="11009" width="7.44140625" style="1" customWidth="1"/>
    <col min="11010" max="11010" width="71.109375" style="1" customWidth="1"/>
    <col min="11011" max="11015" width="0" style="1" hidden="1" customWidth="1"/>
    <col min="11016" max="11019" width="7.44140625" style="1" customWidth="1"/>
    <col min="11020" max="11020" width="2.6640625" style="1" customWidth="1"/>
    <col min="11021" max="11263" width="12.44140625" style="1"/>
    <col min="11264" max="11264" width="2.44140625" style="1" customWidth="1"/>
    <col min="11265" max="11265" width="7.44140625" style="1" customWidth="1"/>
    <col min="11266" max="11266" width="71.109375" style="1" customWidth="1"/>
    <col min="11267" max="11271" width="0" style="1" hidden="1" customWidth="1"/>
    <col min="11272" max="11275" width="7.44140625" style="1" customWidth="1"/>
    <col min="11276" max="11276" width="2.6640625" style="1" customWidth="1"/>
    <col min="11277" max="11519" width="12.44140625" style="1"/>
    <col min="11520" max="11520" width="2.44140625" style="1" customWidth="1"/>
    <col min="11521" max="11521" width="7.44140625" style="1" customWidth="1"/>
    <col min="11522" max="11522" width="71.109375" style="1" customWidth="1"/>
    <col min="11523" max="11527" width="0" style="1" hidden="1" customWidth="1"/>
    <col min="11528" max="11531" width="7.44140625" style="1" customWidth="1"/>
    <col min="11532" max="11532" width="2.6640625" style="1" customWidth="1"/>
    <col min="11533" max="11775" width="12.44140625" style="1"/>
    <col min="11776" max="11776" width="2.44140625" style="1" customWidth="1"/>
    <col min="11777" max="11777" width="7.44140625" style="1" customWidth="1"/>
    <col min="11778" max="11778" width="71.109375" style="1" customWidth="1"/>
    <col min="11779" max="11783" width="0" style="1" hidden="1" customWidth="1"/>
    <col min="11784" max="11787" width="7.44140625" style="1" customWidth="1"/>
    <col min="11788" max="11788" width="2.6640625" style="1" customWidth="1"/>
    <col min="11789" max="12031" width="12.44140625" style="1"/>
    <col min="12032" max="12032" width="2.44140625" style="1" customWidth="1"/>
    <col min="12033" max="12033" width="7.44140625" style="1" customWidth="1"/>
    <col min="12034" max="12034" width="71.109375" style="1" customWidth="1"/>
    <col min="12035" max="12039" width="0" style="1" hidden="1" customWidth="1"/>
    <col min="12040" max="12043" width="7.44140625" style="1" customWidth="1"/>
    <col min="12044" max="12044" width="2.6640625" style="1" customWidth="1"/>
    <col min="12045" max="12287" width="12.44140625" style="1"/>
    <col min="12288" max="12288" width="2.44140625" style="1" customWidth="1"/>
    <col min="12289" max="12289" width="7.44140625" style="1" customWidth="1"/>
    <col min="12290" max="12290" width="71.109375" style="1" customWidth="1"/>
    <col min="12291" max="12295" width="0" style="1" hidden="1" customWidth="1"/>
    <col min="12296" max="12299" width="7.44140625" style="1" customWidth="1"/>
    <col min="12300" max="12300" width="2.6640625" style="1" customWidth="1"/>
    <col min="12301" max="12543" width="12.44140625" style="1"/>
    <col min="12544" max="12544" width="2.44140625" style="1" customWidth="1"/>
    <col min="12545" max="12545" width="7.44140625" style="1" customWidth="1"/>
    <col min="12546" max="12546" width="71.109375" style="1" customWidth="1"/>
    <col min="12547" max="12551" width="0" style="1" hidden="1" customWidth="1"/>
    <col min="12552" max="12555" width="7.44140625" style="1" customWidth="1"/>
    <col min="12556" max="12556" width="2.6640625" style="1" customWidth="1"/>
    <col min="12557" max="12799" width="12.44140625" style="1"/>
    <col min="12800" max="12800" width="2.44140625" style="1" customWidth="1"/>
    <col min="12801" max="12801" width="7.44140625" style="1" customWidth="1"/>
    <col min="12802" max="12802" width="71.109375" style="1" customWidth="1"/>
    <col min="12803" max="12807" width="0" style="1" hidden="1" customWidth="1"/>
    <col min="12808" max="12811" width="7.44140625" style="1" customWidth="1"/>
    <col min="12812" max="12812" width="2.6640625" style="1" customWidth="1"/>
    <col min="12813" max="13055" width="12.44140625" style="1"/>
    <col min="13056" max="13056" width="2.44140625" style="1" customWidth="1"/>
    <col min="13057" max="13057" width="7.44140625" style="1" customWidth="1"/>
    <col min="13058" max="13058" width="71.109375" style="1" customWidth="1"/>
    <col min="13059" max="13063" width="0" style="1" hidden="1" customWidth="1"/>
    <col min="13064" max="13067" width="7.44140625" style="1" customWidth="1"/>
    <col min="13068" max="13068" width="2.6640625" style="1" customWidth="1"/>
    <col min="13069" max="13311" width="12.44140625" style="1"/>
    <col min="13312" max="13312" width="2.44140625" style="1" customWidth="1"/>
    <col min="13313" max="13313" width="7.44140625" style="1" customWidth="1"/>
    <col min="13314" max="13314" width="71.109375" style="1" customWidth="1"/>
    <col min="13315" max="13319" width="0" style="1" hidden="1" customWidth="1"/>
    <col min="13320" max="13323" width="7.44140625" style="1" customWidth="1"/>
    <col min="13324" max="13324" width="2.6640625" style="1" customWidth="1"/>
    <col min="13325" max="13567" width="12.44140625" style="1"/>
    <col min="13568" max="13568" width="2.44140625" style="1" customWidth="1"/>
    <col min="13569" max="13569" width="7.44140625" style="1" customWidth="1"/>
    <col min="13570" max="13570" width="71.109375" style="1" customWidth="1"/>
    <col min="13571" max="13575" width="0" style="1" hidden="1" customWidth="1"/>
    <col min="13576" max="13579" width="7.44140625" style="1" customWidth="1"/>
    <col min="13580" max="13580" width="2.6640625" style="1" customWidth="1"/>
    <col min="13581" max="13823" width="12.44140625" style="1"/>
    <col min="13824" max="13824" width="2.44140625" style="1" customWidth="1"/>
    <col min="13825" max="13825" width="7.44140625" style="1" customWidth="1"/>
    <col min="13826" max="13826" width="71.109375" style="1" customWidth="1"/>
    <col min="13827" max="13831" width="0" style="1" hidden="1" customWidth="1"/>
    <col min="13832" max="13835" width="7.44140625" style="1" customWidth="1"/>
    <col min="13836" max="13836" width="2.6640625" style="1" customWidth="1"/>
    <col min="13837" max="14079" width="12.44140625" style="1"/>
    <col min="14080" max="14080" width="2.44140625" style="1" customWidth="1"/>
    <col min="14081" max="14081" width="7.44140625" style="1" customWidth="1"/>
    <col min="14082" max="14082" width="71.109375" style="1" customWidth="1"/>
    <col min="14083" max="14087" width="0" style="1" hidden="1" customWidth="1"/>
    <col min="14088" max="14091" width="7.44140625" style="1" customWidth="1"/>
    <col min="14092" max="14092" width="2.6640625" style="1" customWidth="1"/>
    <col min="14093" max="14335" width="12.44140625" style="1"/>
    <col min="14336" max="14336" width="2.44140625" style="1" customWidth="1"/>
    <col min="14337" max="14337" width="7.44140625" style="1" customWidth="1"/>
    <col min="14338" max="14338" width="71.109375" style="1" customWidth="1"/>
    <col min="14339" max="14343" width="0" style="1" hidden="1" customWidth="1"/>
    <col min="14344" max="14347" width="7.44140625" style="1" customWidth="1"/>
    <col min="14348" max="14348" width="2.6640625" style="1" customWidth="1"/>
    <col min="14349" max="14591" width="12.44140625" style="1"/>
    <col min="14592" max="14592" width="2.44140625" style="1" customWidth="1"/>
    <col min="14593" max="14593" width="7.44140625" style="1" customWidth="1"/>
    <col min="14594" max="14594" width="71.109375" style="1" customWidth="1"/>
    <col min="14595" max="14599" width="0" style="1" hidden="1" customWidth="1"/>
    <col min="14600" max="14603" width="7.44140625" style="1" customWidth="1"/>
    <col min="14604" max="14604" width="2.6640625" style="1" customWidth="1"/>
    <col min="14605" max="14847" width="12.44140625" style="1"/>
    <col min="14848" max="14848" width="2.44140625" style="1" customWidth="1"/>
    <col min="14849" max="14849" width="7.44140625" style="1" customWidth="1"/>
    <col min="14850" max="14850" width="71.109375" style="1" customWidth="1"/>
    <col min="14851" max="14855" width="0" style="1" hidden="1" customWidth="1"/>
    <col min="14856" max="14859" width="7.44140625" style="1" customWidth="1"/>
    <col min="14860" max="14860" width="2.6640625" style="1" customWidth="1"/>
    <col min="14861" max="15103" width="12.44140625" style="1"/>
    <col min="15104" max="15104" width="2.44140625" style="1" customWidth="1"/>
    <col min="15105" max="15105" width="7.44140625" style="1" customWidth="1"/>
    <col min="15106" max="15106" width="71.109375" style="1" customWidth="1"/>
    <col min="15107" max="15111" width="0" style="1" hidden="1" customWidth="1"/>
    <col min="15112" max="15115" width="7.44140625" style="1" customWidth="1"/>
    <col min="15116" max="15116" width="2.6640625" style="1" customWidth="1"/>
    <col min="15117" max="15359" width="12.44140625" style="1"/>
    <col min="15360" max="15360" width="2.44140625" style="1" customWidth="1"/>
    <col min="15361" max="15361" width="7.44140625" style="1" customWidth="1"/>
    <col min="15362" max="15362" width="71.109375" style="1" customWidth="1"/>
    <col min="15363" max="15367" width="0" style="1" hidden="1" customWidth="1"/>
    <col min="15368" max="15371" width="7.44140625" style="1" customWidth="1"/>
    <col min="15372" max="15372" width="2.6640625" style="1" customWidth="1"/>
    <col min="15373" max="15615" width="12.44140625" style="1"/>
    <col min="15616" max="15616" width="2.44140625" style="1" customWidth="1"/>
    <col min="15617" max="15617" width="7.44140625" style="1" customWidth="1"/>
    <col min="15618" max="15618" width="71.109375" style="1" customWidth="1"/>
    <col min="15619" max="15623" width="0" style="1" hidden="1" customWidth="1"/>
    <col min="15624" max="15627" width="7.44140625" style="1" customWidth="1"/>
    <col min="15628" max="15628" width="2.6640625" style="1" customWidth="1"/>
    <col min="15629" max="15871" width="12.44140625" style="1"/>
    <col min="15872" max="15872" width="2.44140625" style="1" customWidth="1"/>
    <col min="15873" max="15873" width="7.44140625" style="1" customWidth="1"/>
    <col min="15874" max="15874" width="71.109375" style="1" customWidth="1"/>
    <col min="15875" max="15879" width="0" style="1" hidden="1" customWidth="1"/>
    <col min="15880" max="15883" width="7.44140625" style="1" customWidth="1"/>
    <col min="15884" max="15884" width="2.6640625" style="1" customWidth="1"/>
    <col min="15885" max="16127" width="12.44140625" style="1"/>
    <col min="16128" max="16128" width="2.44140625" style="1" customWidth="1"/>
    <col min="16129" max="16129" width="7.44140625" style="1" customWidth="1"/>
    <col min="16130" max="16130" width="71.109375" style="1" customWidth="1"/>
    <col min="16131" max="16135" width="0" style="1" hidden="1" customWidth="1"/>
    <col min="16136" max="16139" width="7.44140625" style="1" customWidth="1"/>
    <col min="16140" max="16140" width="2.6640625" style="1" customWidth="1"/>
    <col min="16141" max="16384" width="12.44140625" style="1"/>
  </cols>
  <sheetData>
    <row r="1" spans="2:11" x14ac:dyDescent="0.3">
      <c r="B1" s="39"/>
      <c r="C1" s="43"/>
      <c r="D1" s="524"/>
      <c r="E1" s="524"/>
      <c r="F1" s="524"/>
      <c r="G1" s="524"/>
      <c r="H1" s="95"/>
    </row>
    <row r="2" spans="2:11" x14ac:dyDescent="0.3">
      <c r="B2" s="39"/>
      <c r="C2" s="43"/>
      <c r="D2" s="524"/>
      <c r="E2" s="524"/>
      <c r="F2" s="524"/>
      <c r="G2" s="524"/>
      <c r="H2" s="95"/>
    </row>
    <row r="3" spans="2:11" x14ac:dyDescent="0.3">
      <c r="B3" s="39"/>
      <c r="C3" s="42" t="s">
        <v>0</v>
      </c>
      <c r="D3" s="524"/>
      <c r="E3" s="524"/>
      <c r="F3" s="524"/>
      <c r="G3" s="524"/>
      <c r="H3" s="95"/>
    </row>
    <row r="4" spans="2:11" x14ac:dyDescent="0.3">
      <c r="B4" s="39"/>
      <c r="C4" s="42" t="s">
        <v>1</v>
      </c>
      <c r="D4" s="524"/>
      <c r="E4" s="524"/>
      <c r="F4" s="524"/>
      <c r="G4" s="524"/>
      <c r="H4" s="95"/>
    </row>
    <row r="5" spans="2:11" x14ac:dyDescent="0.3">
      <c r="B5" s="39"/>
      <c r="C5" s="42" t="s">
        <v>2</v>
      </c>
      <c r="D5" s="524"/>
      <c r="E5" s="524"/>
      <c r="F5" s="524"/>
      <c r="G5" s="524"/>
      <c r="H5" s="95"/>
    </row>
    <row r="6" spans="2:11" x14ac:dyDescent="0.3">
      <c r="B6" s="39"/>
      <c r="C6" s="42"/>
      <c r="D6" s="524"/>
      <c r="E6" s="524"/>
      <c r="F6" s="524"/>
      <c r="G6" s="524"/>
      <c r="H6" s="95"/>
    </row>
    <row r="7" spans="2:11" x14ac:dyDescent="0.3">
      <c r="B7" s="39"/>
      <c r="C7" s="43"/>
      <c r="D7" s="764" t="s">
        <v>26</v>
      </c>
      <c r="E7" s="764"/>
      <c r="F7" s="764"/>
      <c r="G7" s="764"/>
      <c r="H7" s="814"/>
      <c r="I7" s="815"/>
      <c r="J7" s="815"/>
      <c r="K7" s="816"/>
    </row>
    <row r="8" spans="2:11" ht="15" customHeight="1" x14ac:dyDescent="0.3">
      <c r="B8" s="44"/>
      <c r="C8" s="45"/>
      <c r="D8" s="766" t="s">
        <v>453</v>
      </c>
      <c r="E8" s="766"/>
      <c r="F8" s="766"/>
      <c r="G8" s="766"/>
      <c r="H8" s="817" t="s">
        <v>511</v>
      </c>
      <c r="I8" s="818"/>
      <c r="J8" s="818"/>
      <c r="K8" s="819"/>
    </row>
    <row r="9" spans="2:11" x14ac:dyDescent="0.3">
      <c r="B9" s="44" t="s">
        <v>4</v>
      </c>
      <c r="C9" s="46" t="s">
        <v>5</v>
      </c>
      <c r="D9" s="392" t="s">
        <v>454</v>
      </c>
      <c r="E9" s="392" t="s">
        <v>455</v>
      </c>
      <c r="F9" s="392" t="s">
        <v>456</v>
      </c>
      <c r="G9" s="392" t="s">
        <v>457</v>
      </c>
      <c r="H9" s="61" t="s">
        <v>6</v>
      </c>
      <c r="I9" s="61" t="s">
        <v>7</v>
      </c>
      <c r="J9" s="61" t="s">
        <v>8</v>
      </c>
      <c r="K9" s="61" t="s">
        <v>9</v>
      </c>
    </row>
    <row r="10" spans="2:11" s="2" customFormat="1" ht="43.2" x14ac:dyDescent="0.3">
      <c r="B10" s="48">
        <v>4.0999999999999996</v>
      </c>
      <c r="C10" s="49" t="str">
        <f>'4.1'!C4</f>
        <v>Build the capacity of existing institutions at the national, state, district, and block levels in generating and interpreting evidence through measles and other VPD surveillance for improved policy-making</v>
      </c>
      <c r="D10" s="395"/>
      <c r="E10" s="395"/>
      <c r="F10" s="395"/>
      <c r="G10" s="395"/>
      <c r="H10" s="62"/>
      <c r="I10" s="62"/>
      <c r="J10" s="62"/>
      <c r="K10" s="62"/>
    </row>
    <row r="11" spans="2:11" ht="28.8" x14ac:dyDescent="0.3">
      <c r="B11" s="51" t="str">
        <f>'4.1'!B5</f>
        <v>4.1.1</v>
      </c>
      <c r="C11" s="52" t="str">
        <f>'4.1'!C5</f>
        <v xml:space="preserve">Human resources at the National level (4 technical/medical officers at national level; 3 program assistant and 4 data support staff) </v>
      </c>
      <c r="D11" s="393">
        <f>'4.1'!K56/1000000</f>
        <v>5.8755555555555554E-2</v>
      </c>
      <c r="E11" s="393">
        <f>'4.1'!L56/1000000</f>
        <v>5.8755555555555554E-2</v>
      </c>
      <c r="F11" s="393">
        <f>'4.1'!M56/1000000</f>
        <v>5.8755555555555554E-2</v>
      </c>
      <c r="G11" s="393">
        <f>'4.1'!N56/1000000</f>
        <v>5.8755555555555554E-2</v>
      </c>
      <c r="H11" s="47">
        <f>'4.1'!D5/1000000</f>
        <v>0.23502222222222222</v>
      </c>
      <c r="I11" s="47">
        <f>'4.1'!E5/1000000</f>
        <v>0.25852444444444445</v>
      </c>
      <c r="J11" s="47">
        <f>'4.1'!F5/1000000</f>
        <v>0.28437688888888896</v>
      </c>
      <c r="K11" s="47">
        <f>'4.1'!G5/1000000</f>
        <v>0.77792355555555559</v>
      </c>
    </row>
    <row r="12" spans="2:11" ht="18" customHeight="1" x14ac:dyDescent="0.3">
      <c r="B12" s="51" t="str">
        <f>'4.1'!B6</f>
        <v>4.1.2</v>
      </c>
      <c r="C12" s="52" t="str">
        <f>'4.1'!C6</f>
        <v>Strengthening  laboratories for VPD surveillance</v>
      </c>
      <c r="D12" s="393">
        <f>'4.1'!K57/1000000</f>
        <v>0.10999999999999999</v>
      </c>
      <c r="E12" s="393">
        <f>'4.1'!L57/1000000</f>
        <v>0</v>
      </c>
      <c r="F12" s="393">
        <f>'4.1'!M57/1000000</f>
        <v>0</v>
      </c>
      <c r="G12" s="393">
        <f>'4.1'!N57/1000000</f>
        <v>0</v>
      </c>
      <c r="H12" s="47">
        <f>'4.1'!D6/1000000</f>
        <v>0.10999999999999999</v>
      </c>
      <c r="I12" s="47">
        <f>'4.1'!E6/1000000</f>
        <v>0.158</v>
      </c>
      <c r="J12" s="47">
        <f>'4.1'!F6/1000000</f>
        <v>0.2152</v>
      </c>
      <c r="K12" s="47">
        <f>'4.1'!G6/1000000</f>
        <v>0.48320000000000002</v>
      </c>
    </row>
    <row r="13" spans="2:11" ht="15" customHeight="1" x14ac:dyDescent="0.3">
      <c r="B13" s="51" t="str">
        <f>'4.1'!B7</f>
        <v>4.1.3 &amp;4</v>
      </c>
      <c r="C13" s="52" t="str">
        <f>'4.1'!C7</f>
        <v xml:space="preserve">National/state level trainings workshops  </v>
      </c>
      <c r="D13" s="393">
        <f>'4.1'!K58/1000000</f>
        <v>0</v>
      </c>
      <c r="E13" s="393">
        <f>'4.1'!L58/1000000</f>
        <v>3.518518518518518E-2</v>
      </c>
      <c r="F13" s="393">
        <f>'4.1'!M58/1000000</f>
        <v>6.2083333333333338E-2</v>
      </c>
      <c r="G13" s="393">
        <f>'4.1'!N58/1000000</f>
        <v>0</v>
      </c>
      <c r="H13" s="47">
        <f>'4.1'!D7/1000000</f>
        <v>9.7268518518518504E-2</v>
      </c>
      <c r="I13" s="47">
        <f>'4.1'!E7/1000000</f>
        <v>0.10699537037037037</v>
      </c>
      <c r="J13" s="47">
        <f>'4.1'!F7/1000000</f>
        <v>0.11769490740740741</v>
      </c>
      <c r="K13" s="47">
        <f>'4.1'!G7/1000000</f>
        <v>0.32195879629629631</v>
      </c>
    </row>
    <row r="14" spans="2:11" ht="15.75" customHeight="1" x14ac:dyDescent="0.3">
      <c r="B14" s="51"/>
      <c r="C14" s="52" t="str">
        <f>'4.1'!C8</f>
        <v>Operational cost for these activities</v>
      </c>
      <c r="D14" s="393">
        <f>'4.1'!K59/1000000</f>
        <v>0.1</v>
      </c>
      <c r="E14" s="393">
        <f>'4.1'!L59/1000000</f>
        <v>0.1</v>
      </c>
      <c r="F14" s="393">
        <f>'4.1'!M59/1000000</f>
        <v>0.1</v>
      </c>
      <c r="G14" s="393">
        <f>'4.1'!N59/1000000</f>
        <v>0.1</v>
      </c>
      <c r="H14" s="47">
        <f>'4.1'!D8/1000000</f>
        <v>0.4</v>
      </c>
      <c r="I14" s="47">
        <f>'4.1'!E8/1000000</f>
        <v>0.35</v>
      </c>
      <c r="J14" s="47">
        <f>'4.1'!F8/1000000</f>
        <v>0.35</v>
      </c>
      <c r="K14" s="47">
        <f>'4.1'!G8/1000000</f>
        <v>1.1000000000000001</v>
      </c>
    </row>
    <row r="15" spans="2:11" x14ac:dyDescent="0.3">
      <c r="B15" s="51"/>
      <c r="C15" s="53" t="s">
        <v>10</v>
      </c>
      <c r="D15" s="394">
        <f>D11+D12+D13+D14</f>
        <v>0.26875555555555553</v>
      </c>
      <c r="E15" s="394">
        <f t="shared" ref="E15:G15" si="0">E11+E12+E13+E14</f>
        <v>0.19394074074074075</v>
      </c>
      <c r="F15" s="394">
        <f t="shared" si="0"/>
        <v>0.22083888888888889</v>
      </c>
      <c r="G15" s="394">
        <f t="shared" si="0"/>
        <v>0.15875555555555557</v>
      </c>
      <c r="H15" s="54">
        <f>H11+H12+H13+H14</f>
        <v>0.84229074074074073</v>
      </c>
      <c r="I15" s="54">
        <f>I11+I12+I13+I14</f>
        <v>0.87351981481481478</v>
      </c>
      <c r="J15" s="54">
        <f>J11+J12+J13+J14</f>
        <v>0.96727179629629634</v>
      </c>
      <c r="K15" s="54">
        <f>K11+K12+K13+K14</f>
        <v>2.6830823518518518</v>
      </c>
    </row>
    <row r="16" spans="2:11" s="2" customFormat="1" x14ac:dyDescent="0.3">
      <c r="B16" s="48">
        <v>5</v>
      </c>
      <c r="C16" s="49" t="str">
        <f>'5'!C4</f>
        <v>Human resources at national and state level (both technical and support staff)</v>
      </c>
      <c r="D16" s="395"/>
      <c r="E16" s="395"/>
      <c r="F16" s="395"/>
      <c r="G16" s="395"/>
      <c r="H16" s="62"/>
      <c r="I16" s="62"/>
      <c r="J16" s="62"/>
      <c r="K16" s="62"/>
    </row>
    <row r="17" spans="2:11" ht="28.8" x14ac:dyDescent="0.3">
      <c r="B17" s="51" t="s">
        <v>512</v>
      </c>
      <c r="C17" s="52" t="str">
        <f>'5'!C5</f>
        <v>Human resources at national level (3 technical staff, one program assistant and 3 data support staff)</v>
      </c>
      <c r="D17" s="393">
        <f>'5'!K45/1000000</f>
        <v>3.9677777777777777E-2</v>
      </c>
      <c r="E17" s="393">
        <f>'5'!L45/1000000</f>
        <v>3.9677777777777777E-2</v>
      </c>
      <c r="F17" s="393">
        <f>'5'!M45/1000000</f>
        <v>3.9677777777777777E-2</v>
      </c>
      <c r="G17" s="393">
        <f>'5'!N45/1000000</f>
        <v>3.9677777777777777E-2</v>
      </c>
      <c r="H17" s="47">
        <f>'5'!D5/1000000</f>
        <v>0.15871111111111111</v>
      </c>
      <c r="I17" s="47">
        <f>'5'!E5/1000000</f>
        <v>0.17458222222222222</v>
      </c>
      <c r="J17" s="47">
        <f>'5'!F5/1000000</f>
        <v>0.19204044444444446</v>
      </c>
      <c r="K17" s="47">
        <f>'5'!G5/1000000</f>
        <v>0.52533377777777779</v>
      </c>
    </row>
    <row r="18" spans="2:11" ht="19.5" customHeight="1" x14ac:dyDescent="0.3">
      <c r="B18" s="51" t="s">
        <v>513</v>
      </c>
      <c r="C18" s="52" t="str">
        <f>'5'!C6</f>
        <v>Human resources at state and district levels (technical and support staff)</v>
      </c>
      <c r="D18" s="393">
        <f>'5'!K46/1000000</f>
        <v>0.61347600000000002</v>
      </c>
      <c r="E18" s="393">
        <f>'5'!L46/1000000</f>
        <v>0.61347600000000002</v>
      </c>
      <c r="F18" s="393">
        <f>'5'!M46/1000000</f>
        <v>0.61347600000000002</v>
      </c>
      <c r="G18" s="393">
        <f>'5'!N46/1000000</f>
        <v>0.61347600000000002</v>
      </c>
      <c r="H18" s="47">
        <f>'5'!D6/1000000</f>
        <v>2.4539040000000001</v>
      </c>
      <c r="I18" s="47">
        <f>'5'!E6/1000000</f>
        <v>3.2976899999999998</v>
      </c>
      <c r="J18" s="47">
        <f>'5'!F6/1000000</f>
        <v>4.2856941600000003</v>
      </c>
      <c r="K18" s="47">
        <f>'5'!G6/1000000</f>
        <v>10.037288160000001</v>
      </c>
    </row>
    <row r="19" spans="2:11" x14ac:dyDescent="0.3">
      <c r="B19" s="51"/>
      <c r="C19" s="53" t="s">
        <v>10</v>
      </c>
      <c r="D19" s="394">
        <f>D17+D18</f>
        <v>0.65315377777777783</v>
      </c>
      <c r="E19" s="394">
        <f t="shared" ref="E19:G19" si="1">E17+E18</f>
        <v>0.65315377777777783</v>
      </c>
      <c r="F19" s="394">
        <f t="shared" si="1"/>
        <v>0.65315377777777783</v>
      </c>
      <c r="G19" s="394">
        <f t="shared" si="1"/>
        <v>0.65315377777777783</v>
      </c>
      <c r="H19" s="54">
        <f>H17+H18</f>
        <v>2.6126151111111113</v>
      </c>
      <c r="I19" s="54">
        <f>I17+I18</f>
        <v>3.4722722222222222</v>
      </c>
      <c r="J19" s="54">
        <f>J17+J18</f>
        <v>4.4777346044444446</v>
      </c>
      <c r="K19" s="54">
        <f>K17+K18</f>
        <v>10.562621937777779</v>
      </c>
    </row>
    <row r="20" spans="2:11" ht="43.2" x14ac:dyDescent="0.3">
      <c r="B20" s="48">
        <v>5.0999999999999996</v>
      </c>
      <c r="C20" s="516" t="s">
        <v>514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</row>
    <row r="21" spans="2:11" s="2" customFormat="1" x14ac:dyDescent="0.3">
      <c r="B21" s="48">
        <v>5.2</v>
      </c>
      <c r="C21" s="49" t="str">
        <f>'5.2'!C4</f>
        <v>Intensified RI Monitoring</v>
      </c>
      <c r="D21" s="395"/>
      <c r="E21" s="395"/>
      <c r="F21" s="395"/>
      <c r="G21" s="395"/>
      <c r="H21" s="62"/>
      <c r="I21" s="62"/>
      <c r="J21" s="62"/>
      <c r="K21" s="62"/>
    </row>
    <row r="22" spans="2:11" x14ac:dyDescent="0.3">
      <c r="B22" s="51"/>
      <c r="C22" s="52" t="str">
        <f>'5.2'!C12</f>
        <v>Field Monitors</v>
      </c>
      <c r="D22" s="393">
        <f>'5.2'!K22/1000000</f>
        <v>0.46401888888888887</v>
      </c>
      <c r="E22" s="393">
        <f>'5.2'!L22/1000000</f>
        <v>0.46401888888888887</v>
      </c>
      <c r="F22" s="393">
        <f>'5.2'!M22/1000000</f>
        <v>0.46401888888888887</v>
      </c>
      <c r="G22" s="393">
        <f>'5.2'!N22/1000000</f>
        <v>0.46401888888888887</v>
      </c>
      <c r="H22" s="47">
        <f>'5.2'!D7/1000000</f>
        <v>1.8560755555555555</v>
      </c>
      <c r="I22" s="47">
        <f>'5.2'!E7/1000000</f>
        <v>2.0416831111111113</v>
      </c>
      <c r="J22" s="47">
        <f>'5.2'!F7/1000000</f>
        <v>2.2458514222222226</v>
      </c>
      <c r="K22" s="47">
        <f>'5.2'!G7/1000000</f>
        <v>6.1436100888888889</v>
      </c>
    </row>
    <row r="23" spans="2:11" x14ac:dyDescent="0.3">
      <c r="B23" s="51"/>
      <c r="C23" s="53" t="s">
        <v>10</v>
      </c>
      <c r="D23" s="394">
        <f t="shared" ref="D23:K23" si="2">D22</f>
        <v>0.46401888888888887</v>
      </c>
      <c r="E23" s="394">
        <f t="shared" si="2"/>
        <v>0.46401888888888887</v>
      </c>
      <c r="F23" s="394">
        <f t="shared" si="2"/>
        <v>0.46401888888888887</v>
      </c>
      <c r="G23" s="394">
        <f t="shared" si="2"/>
        <v>0.46401888888888887</v>
      </c>
      <c r="H23" s="54">
        <f t="shared" si="2"/>
        <v>1.8560755555555555</v>
      </c>
      <c r="I23" s="54">
        <f t="shared" si="2"/>
        <v>2.0416831111111113</v>
      </c>
      <c r="J23" s="54">
        <f t="shared" si="2"/>
        <v>2.2458514222222226</v>
      </c>
      <c r="K23" s="54">
        <f t="shared" si="2"/>
        <v>6.1436100888888889</v>
      </c>
    </row>
    <row r="24" spans="2:11" s="2" customFormat="1" x14ac:dyDescent="0.3">
      <c r="B24" s="48">
        <v>5.3</v>
      </c>
      <c r="C24" s="49" t="str">
        <f>'5.3'!C4</f>
        <v>AFP surveillance, UIP reviews, Evaluations</v>
      </c>
      <c r="D24" s="395"/>
      <c r="E24" s="395"/>
      <c r="F24" s="395"/>
      <c r="G24" s="395"/>
      <c r="H24" s="62"/>
      <c r="I24" s="62"/>
      <c r="J24" s="62"/>
      <c r="K24" s="62"/>
    </row>
    <row r="25" spans="2:11" ht="13.5" customHeight="1" x14ac:dyDescent="0.3">
      <c r="B25" s="51" t="s">
        <v>11</v>
      </c>
      <c r="C25" s="52" t="str">
        <f>'5.3'!C5</f>
        <v>AFP Surveillance Review</v>
      </c>
      <c r="D25" s="393">
        <f>'5.3'!K37/1000000</f>
        <v>0</v>
      </c>
      <c r="E25" s="393">
        <f>'5.3'!L37/1000000</f>
        <v>0</v>
      </c>
      <c r="F25" s="393">
        <f>'5.3'!M37/1000000</f>
        <v>2.0222222222222221E-2</v>
      </c>
      <c r="G25" s="393">
        <f>'5.3'!N37/1000000</f>
        <v>0</v>
      </c>
      <c r="H25" s="47">
        <f>'5.3'!D5/1000000</f>
        <v>2.0222222222222221E-2</v>
      </c>
      <c r="I25" s="47">
        <f>'5.3'!E5/1000000</f>
        <v>2.2244444444444445E-2</v>
      </c>
      <c r="J25" s="47">
        <f>'5.3'!F5/1000000</f>
        <v>1.6312592592592594E-2</v>
      </c>
      <c r="K25" s="47">
        <f>'5.3'!G5/1000000</f>
        <v>5.877925925925926E-2</v>
      </c>
    </row>
    <row r="26" spans="2:11" x14ac:dyDescent="0.3">
      <c r="B26" s="51" t="s">
        <v>12</v>
      </c>
      <c r="C26" s="52" t="str">
        <f>'5.3'!C6</f>
        <v>UIP Review</v>
      </c>
      <c r="D26" s="393">
        <f>'5.3'!K38/1000000</f>
        <v>0</v>
      </c>
      <c r="E26" s="393">
        <f>'5.3'!L38/1000000</f>
        <v>0</v>
      </c>
      <c r="F26" s="393">
        <f>'5.3'!M38/1000000</f>
        <v>4.6666666666666671E-3</v>
      </c>
      <c r="G26" s="393">
        <f>'5.3'!N38/1000000</f>
        <v>0</v>
      </c>
      <c r="H26" s="47">
        <f>'5.3'!D6/1000000</f>
        <v>4.6666666666666671E-3</v>
      </c>
      <c r="I26" s="47">
        <f>'5.3'!E6/1000000</f>
        <v>5.1333333333333344E-3</v>
      </c>
      <c r="J26" s="47">
        <f>'5.3'!F6/1000000</f>
        <v>1.1293333333333336E-2</v>
      </c>
      <c r="K26" s="47">
        <f>'5.3'!G6/1000000</f>
        <v>2.1093333333333335E-2</v>
      </c>
    </row>
    <row r="27" spans="2:11" x14ac:dyDescent="0.3">
      <c r="B27" s="51"/>
      <c r="C27" s="53" t="s">
        <v>10</v>
      </c>
      <c r="D27" s="394">
        <f>D25+D26</f>
        <v>0</v>
      </c>
      <c r="E27" s="394">
        <f t="shared" ref="E27:G27" si="3">E25+E26</f>
        <v>0</v>
      </c>
      <c r="F27" s="394">
        <f t="shared" si="3"/>
        <v>2.4888888888888887E-2</v>
      </c>
      <c r="G27" s="394">
        <f t="shared" si="3"/>
        <v>0</v>
      </c>
      <c r="H27" s="54">
        <f>H25+H26</f>
        <v>2.4888888888888887E-2</v>
      </c>
      <c r="I27" s="54">
        <f>I25+I26</f>
        <v>2.7377777777777779E-2</v>
      </c>
      <c r="J27" s="54">
        <f>J25+J26</f>
        <v>2.760592592592593E-2</v>
      </c>
      <c r="K27" s="54">
        <f>K25+K26</f>
        <v>7.9872592592592592E-2</v>
      </c>
    </row>
    <row r="28" spans="2:11" s="2" customFormat="1" ht="15.75" customHeight="1" x14ac:dyDescent="0.3">
      <c r="B28" s="48">
        <v>5.4</v>
      </c>
      <c r="C28" s="49" t="str">
        <f>'5.4'!C4</f>
        <v>SDA Facility management and organization</v>
      </c>
      <c r="D28" s="395"/>
      <c r="E28" s="395"/>
      <c r="F28" s="395"/>
      <c r="G28" s="395"/>
      <c r="H28" s="62"/>
      <c r="I28" s="62"/>
      <c r="J28" s="62"/>
      <c r="K28" s="62"/>
    </row>
    <row r="29" spans="2:11" ht="14.25" customHeight="1" x14ac:dyDescent="0.3">
      <c r="B29" s="51"/>
      <c r="C29" s="52" t="str">
        <f>'5.4'!C5</f>
        <v>Operational Cost</v>
      </c>
      <c r="D29" s="393">
        <f>'5.4'!K18/1000000</f>
        <v>0.10693759999999998</v>
      </c>
      <c r="E29" s="393">
        <f>'5.4'!L18/1000000</f>
        <v>0.10693759999999998</v>
      </c>
      <c r="F29" s="393">
        <f>'5.4'!M18/1000000</f>
        <v>0.10693759999999998</v>
      </c>
      <c r="G29" s="393">
        <f>'5.4'!N18/1000000</f>
        <v>0.10693759999999998</v>
      </c>
      <c r="H29" s="47">
        <f>'5.4'!D5/1000000</f>
        <v>0.42775039999999992</v>
      </c>
      <c r="I29" s="47">
        <f>'5.4'!E5/1000000</f>
        <v>0.44913791999999991</v>
      </c>
      <c r="J29" s="47">
        <f>'5.4'!F5/1000000</f>
        <v>0.47159481599999992</v>
      </c>
      <c r="K29" s="47">
        <f>'5.4'!G5/1000000</f>
        <v>1.3484831359999998</v>
      </c>
    </row>
    <row r="30" spans="2:11" x14ac:dyDescent="0.3">
      <c r="B30" s="51"/>
      <c r="C30" s="53" t="s">
        <v>10</v>
      </c>
      <c r="D30" s="394">
        <f>D29</f>
        <v>0.10693759999999998</v>
      </c>
      <c r="E30" s="394">
        <f t="shared" ref="E30:G30" si="4">E29</f>
        <v>0.10693759999999998</v>
      </c>
      <c r="F30" s="394">
        <f t="shared" si="4"/>
        <v>0.10693759999999998</v>
      </c>
      <c r="G30" s="394">
        <f t="shared" si="4"/>
        <v>0.10693759999999998</v>
      </c>
      <c r="H30" s="54">
        <f>H29</f>
        <v>0.42775039999999992</v>
      </c>
      <c r="I30" s="54">
        <f>I29</f>
        <v>0.44913791999999991</v>
      </c>
      <c r="J30" s="54">
        <f>J29</f>
        <v>0.47159481599999992</v>
      </c>
      <c r="K30" s="54">
        <f>K29</f>
        <v>1.3484831359999998</v>
      </c>
    </row>
    <row r="31" spans="2:11" s="2" customFormat="1" ht="14.25" customHeight="1" x14ac:dyDescent="0.3">
      <c r="B31" s="48">
        <v>5.5</v>
      </c>
      <c r="C31" s="49" t="str">
        <f>'5.5'!C4</f>
        <v xml:space="preserve">Build capacity of frontline workers at state and district levels in high priority states </v>
      </c>
      <c r="D31" s="395"/>
      <c r="E31" s="395"/>
      <c r="F31" s="395"/>
      <c r="G31" s="395"/>
      <c r="H31" s="62"/>
      <c r="I31" s="62"/>
      <c r="J31" s="62"/>
      <c r="K31" s="62"/>
    </row>
    <row r="32" spans="2:11" s="2" customFormat="1" x14ac:dyDescent="0.3">
      <c r="B32" s="48" t="s">
        <v>13</v>
      </c>
      <c r="C32" s="52" t="str">
        <f>'5.5'!C5</f>
        <v>State Medical Officers</v>
      </c>
      <c r="D32" s="393">
        <f>'5.5'!K20/1000000</f>
        <v>0</v>
      </c>
      <c r="E32" s="393">
        <f>'5.5'!L20/1000000</f>
        <v>0.21025555555555556</v>
      </c>
      <c r="F32" s="393">
        <f>'5.5'!M20/1000000</f>
        <v>0</v>
      </c>
      <c r="G32" s="393">
        <f>'5.5'!N20/1000000</f>
        <v>0.21025555555555556</v>
      </c>
      <c r="H32" s="47">
        <f>'5.5'!D5/1000000</f>
        <v>0.42051111111111111</v>
      </c>
      <c r="I32" s="47">
        <f>'5.5'!E5/1000000</f>
        <v>0.46256222222222226</v>
      </c>
      <c r="J32" s="47">
        <f>'5.5'!F5/1000000</f>
        <v>0.50881844444444446</v>
      </c>
      <c r="K32" s="47">
        <f>'5.5'!G5/1000000</f>
        <v>1.3918917777777779</v>
      </c>
    </row>
    <row r="33" spans="2:22" s="2" customFormat="1" x14ac:dyDescent="0.3">
      <c r="B33" s="48" t="s">
        <v>14</v>
      </c>
      <c r="C33" s="52" t="str">
        <f>'5.5'!C6</f>
        <v>District Immunization Officers</v>
      </c>
      <c r="D33" s="393">
        <f>'5.5'!K21/1000000</f>
        <v>0</v>
      </c>
      <c r="E33" s="393">
        <f>'5.5'!L21/1000000</f>
        <v>0.23012222222222226</v>
      </c>
      <c r="F33" s="393">
        <f>'5.5'!M21/1000000</f>
        <v>0</v>
      </c>
      <c r="G33" s="393">
        <f>'5.5'!N21/1000000</f>
        <v>0.23012222222222226</v>
      </c>
      <c r="H33" s="47">
        <f>'5.5'!D6/1000000</f>
        <v>0.46024444444444451</v>
      </c>
      <c r="I33" s="47">
        <f>'5.5'!E6/1000000</f>
        <v>0.50626888888888899</v>
      </c>
      <c r="J33" s="47">
        <f>'5.5'!F6/1000000</f>
        <v>0.55689577777777799</v>
      </c>
      <c r="K33" s="47">
        <f>'5.5'!G6/1000000</f>
        <v>1.5234091111111114</v>
      </c>
    </row>
    <row r="34" spans="2:22" s="2" customFormat="1" x14ac:dyDescent="0.3">
      <c r="B34" s="48"/>
      <c r="C34" s="53" t="s">
        <v>10</v>
      </c>
      <c r="D34" s="394">
        <f>D32+D33</f>
        <v>0</v>
      </c>
      <c r="E34" s="394">
        <f t="shared" ref="E34:G34" si="5">E32+E33</f>
        <v>0.44037777777777781</v>
      </c>
      <c r="F34" s="394">
        <f t="shared" si="5"/>
        <v>0</v>
      </c>
      <c r="G34" s="394">
        <f t="shared" si="5"/>
        <v>0.44037777777777781</v>
      </c>
      <c r="H34" s="54">
        <f>H32+H33</f>
        <v>0.88075555555555562</v>
      </c>
      <c r="I34" s="54">
        <f>I32+I33</f>
        <v>0.9688311111111112</v>
      </c>
      <c r="J34" s="54">
        <f>J32+J33</f>
        <v>1.0657142222222225</v>
      </c>
      <c r="K34" s="54">
        <f>K32+K33</f>
        <v>2.9153008888888894</v>
      </c>
    </row>
    <row r="35" spans="2:22" s="2" customFormat="1" ht="12.75" hidden="1" customHeight="1" x14ac:dyDescent="0.3">
      <c r="B35" s="48"/>
      <c r="C35" s="57" t="s">
        <v>15</v>
      </c>
      <c r="D35" s="395"/>
      <c r="E35" s="395"/>
      <c r="F35" s="395"/>
      <c r="G35" s="395"/>
      <c r="H35" s="62">
        <v>12.590000000000002</v>
      </c>
      <c r="I35" s="62">
        <v>12.150000000000002</v>
      </c>
      <c r="J35" s="62">
        <v>10.6</v>
      </c>
      <c r="K35" s="62">
        <v>35.340000000000003</v>
      </c>
    </row>
    <row r="36" spans="2:22" s="450" customFormat="1" ht="15" customHeight="1" x14ac:dyDescent="0.3">
      <c r="B36" s="55"/>
      <c r="C36" s="516" t="s">
        <v>16</v>
      </c>
      <c r="D36" s="395">
        <f>H36/4</f>
        <v>0.125</v>
      </c>
      <c r="E36" s="395">
        <f t="shared" ref="E36:F36" si="6">I36/4</f>
        <v>0.125</v>
      </c>
      <c r="F36" s="395">
        <f t="shared" si="6"/>
        <v>0.125</v>
      </c>
      <c r="G36" s="395">
        <v>0.13</v>
      </c>
      <c r="H36" s="59">
        <v>0.5</v>
      </c>
      <c r="I36" s="59">
        <v>0.5</v>
      </c>
      <c r="J36" s="59">
        <v>0.5</v>
      </c>
      <c r="K36" s="59">
        <f>H36+I36+J36</f>
        <v>1.5</v>
      </c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</row>
    <row r="37" spans="2:22" x14ac:dyDescent="0.3">
      <c r="B37" s="51"/>
      <c r="C37" s="451"/>
      <c r="D37" s="393"/>
      <c r="E37" s="393"/>
      <c r="F37" s="393"/>
      <c r="G37" s="393"/>
      <c r="H37" s="47"/>
      <c r="I37" s="47"/>
      <c r="J37" s="47"/>
      <c r="K37" s="47"/>
    </row>
    <row r="38" spans="2:22" s="2" customFormat="1" ht="15.75" customHeight="1" x14ac:dyDescent="0.3">
      <c r="B38" s="62"/>
      <c r="C38" s="452" t="s">
        <v>17</v>
      </c>
      <c r="D38" s="453"/>
      <c r="E38" s="453"/>
      <c r="F38" s="453"/>
      <c r="G38" s="453"/>
      <c r="H38" s="454">
        <f>H15+H19+H23+H27+H30+H34+H36+H37</f>
        <v>7.1443762518518517</v>
      </c>
      <c r="I38" s="454">
        <f>I15+I19+I23+I27+I30+I34+I36+I37</f>
        <v>8.3328219570370372</v>
      </c>
      <c r="J38" s="454">
        <f>J15+J19+J23+J27+J30+J34+J36+J37</f>
        <v>9.7557727871111126</v>
      </c>
      <c r="K38" s="454">
        <f>K15+K19+K23+K27+K30+K34+K36+K37</f>
        <v>25.232970996000002</v>
      </c>
    </row>
    <row r="39" spans="2:22" x14ac:dyDescent="0.3">
      <c r="B39" s="61"/>
      <c r="C39" s="52" t="s">
        <v>18</v>
      </c>
      <c r="D39" s="393"/>
      <c r="E39" s="393"/>
      <c r="F39" s="393"/>
      <c r="G39" s="393"/>
      <c r="H39" s="47">
        <f>H38*7%</f>
        <v>0.50010633762962964</v>
      </c>
      <c r="I39" s="47">
        <f>I38*7%</f>
        <v>0.58329753699259268</v>
      </c>
      <c r="J39" s="47">
        <f>J38*7%</f>
        <v>0.68290409509777794</v>
      </c>
      <c r="K39" s="47">
        <f>H39+I39+J39</f>
        <v>1.7663079697200001</v>
      </c>
    </row>
    <row r="40" spans="2:22" s="2" customFormat="1" ht="15.9" customHeight="1" x14ac:dyDescent="0.3">
      <c r="B40" s="62"/>
      <c r="C40" s="63" t="s">
        <v>19</v>
      </c>
      <c r="D40" s="396"/>
      <c r="E40" s="396"/>
      <c r="F40" s="396"/>
      <c r="G40" s="396"/>
      <c r="H40" s="58">
        <f>H38+H39</f>
        <v>7.6444825894814814</v>
      </c>
      <c r="I40" s="58">
        <f>I38+I39</f>
        <v>8.9161194940296298</v>
      </c>
      <c r="J40" s="58">
        <f>J38+J39</f>
        <v>10.43867688220889</v>
      </c>
      <c r="K40" s="58">
        <f>K38+K39</f>
        <v>26.999278965720002</v>
      </c>
    </row>
    <row r="41" spans="2:22" x14ac:dyDescent="0.3">
      <c r="C41" s="43"/>
      <c r="D41" s="524"/>
      <c r="E41" s="524"/>
      <c r="F41" s="524"/>
      <c r="G41" s="524"/>
      <c r="H41" s="95"/>
    </row>
    <row r="42" spans="2:22" hidden="1" x14ac:dyDescent="0.3">
      <c r="C42" s="43"/>
      <c r="D42" s="524"/>
      <c r="E42" s="524"/>
      <c r="F42" s="524"/>
      <c r="G42" s="524"/>
      <c r="H42" s="95"/>
    </row>
    <row r="43" spans="2:22" hidden="1" x14ac:dyDescent="0.3">
      <c r="C43" s="43" t="s">
        <v>9</v>
      </c>
      <c r="D43" s="524"/>
      <c r="E43" s="524"/>
      <c r="F43" s="524"/>
      <c r="G43" s="524"/>
      <c r="H43" s="95"/>
    </row>
    <row r="44" spans="2:22" hidden="1" x14ac:dyDescent="0.3">
      <c r="C44" s="43" t="s">
        <v>20</v>
      </c>
      <c r="D44" s="524"/>
      <c r="E44" s="524"/>
      <c r="F44" s="524"/>
      <c r="G44" s="524"/>
      <c r="H44" s="95"/>
    </row>
    <row r="45" spans="2:22" hidden="1" x14ac:dyDescent="0.3">
      <c r="C45" s="43" t="s">
        <v>21</v>
      </c>
      <c r="D45" s="524"/>
      <c r="E45" s="524"/>
      <c r="F45" s="524"/>
      <c r="G45" s="524"/>
      <c r="H45" s="95"/>
    </row>
    <row r="46" spans="2:22" hidden="1" x14ac:dyDescent="0.3">
      <c r="C46" s="43" t="s">
        <v>22</v>
      </c>
      <c r="D46" s="524"/>
      <c r="E46" s="524"/>
      <c r="F46" s="524"/>
      <c r="G46" s="524"/>
      <c r="H46" s="95"/>
    </row>
    <row r="47" spans="2:22" hidden="1" x14ac:dyDescent="0.3">
      <c r="C47" s="43"/>
      <c r="D47" s="524"/>
      <c r="E47" s="524"/>
      <c r="F47" s="524"/>
      <c r="G47" s="524"/>
      <c r="H47" s="95"/>
    </row>
    <row r="48" spans="2:22" hidden="1" x14ac:dyDescent="0.3">
      <c r="C48" s="43" t="s">
        <v>23</v>
      </c>
      <c r="D48" s="524"/>
      <c r="E48" s="524"/>
      <c r="F48" s="524"/>
      <c r="G48" s="524"/>
      <c r="H48" s="95"/>
    </row>
    <row r="49" spans="3:8" hidden="1" x14ac:dyDescent="0.3">
      <c r="C49" s="43"/>
      <c r="D49" s="524"/>
      <c r="E49" s="524"/>
      <c r="F49" s="524"/>
      <c r="G49" s="524"/>
      <c r="H49" s="95"/>
    </row>
    <row r="50" spans="3:8" hidden="1" x14ac:dyDescent="0.3">
      <c r="C50" s="43" t="s">
        <v>24</v>
      </c>
      <c r="D50" s="524"/>
      <c r="E50" s="524"/>
      <c r="F50" s="524"/>
      <c r="G50" s="524"/>
      <c r="H50" s="95"/>
    </row>
    <row r="51" spans="3:8" hidden="1" x14ac:dyDescent="0.3">
      <c r="C51" s="43"/>
      <c r="D51" s="524"/>
      <c r="E51" s="524"/>
      <c r="F51" s="524"/>
      <c r="G51" s="524"/>
      <c r="H51" s="95"/>
    </row>
    <row r="52" spans="3:8" hidden="1" x14ac:dyDescent="0.3">
      <c r="C52" s="43"/>
      <c r="D52" s="524"/>
      <c r="E52" s="524"/>
      <c r="F52" s="524"/>
      <c r="G52" s="524"/>
      <c r="H52" s="95"/>
    </row>
    <row r="53" spans="3:8" hidden="1" x14ac:dyDescent="0.3">
      <c r="C53" s="43"/>
      <c r="D53" s="524"/>
      <c r="E53" s="524"/>
      <c r="F53" s="524"/>
      <c r="G53" s="524"/>
      <c r="H53" s="95"/>
    </row>
    <row r="54" spans="3:8" hidden="1" x14ac:dyDescent="0.3">
      <c r="C54" s="43" t="s">
        <v>9</v>
      </c>
      <c r="D54" s="524"/>
      <c r="E54" s="524"/>
      <c r="F54" s="524"/>
      <c r="G54" s="524"/>
      <c r="H54" s="95"/>
    </row>
    <row r="55" spans="3:8" hidden="1" x14ac:dyDescent="0.3">
      <c r="C55" s="43" t="s">
        <v>25</v>
      </c>
      <c r="D55" s="524"/>
      <c r="E55" s="524"/>
      <c r="F55" s="524"/>
      <c r="G55" s="524"/>
      <c r="H55" s="95"/>
    </row>
    <row r="56" spans="3:8" hidden="1" x14ac:dyDescent="0.3">
      <c r="C56" s="43"/>
      <c r="D56" s="524"/>
      <c r="E56" s="524"/>
      <c r="F56" s="524"/>
      <c r="G56" s="524"/>
      <c r="H56" s="95"/>
    </row>
    <row r="57" spans="3:8" hidden="1" x14ac:dyDescent="0.3">
      <c r="C57" s="537">
        <v>0.05</v>
      </c>
      <c r="D57" s="524"/>
      <c r="E57" s="524"/>
      <c r="F57" s="524"/>
      <c r="G57" s="524"/>
      <c r="H57" s="95"/>
    </row>
    <row r="58" spans="3:8" hidden="1" x14ac:dyDescent="0.3">
      <c r="C58" s="43"/>
      <c r="D58" s="524"/>
      <c r="E58" s="524"/>
      <c r="F58" s="524"/>
      <c r="G58" s="524"/>
      <c r="H58" s="95"/>
    </row>
    <row r="59" spans="3:8" hidden="1" x14ac:dyDescent="0.3">
      <c r="C59" s="43"/>
      <c r="D59" s="524"/>
      <c r="E59" s="524"/>
      <c r="F59" s="524"/>
      <c r="G59" s="524"/>
      <c r="H59" s="95"/>
    </row>
    <row r="60" spans="3:8" hidden="1" x14ac:dyDescent="0.3">
      <c r="C60" s="43"/>
      <c r="D60" s="524"/>
      <c r="E60" s="524"/>
      <c r="F60" s="524"/>
      <c r="G60" s="524"/>
      <c r="H60" s="95"/>
    </row>
    <row r="61" spans="3:8" hidden="1" x14ac:dyDescent="0.3">
      <c r="C61" s="43"/>
      <c r="D61" s="524"/>
      <c r="E61" s="524"/>
      <c r="F61" s="524"/>
      <c r="G61" s="524"/>
      <c r="H61" s="95"/>
    </row>
    <row r="62" spans="3:8" x14ac:dyDescent="0.3">
      <c r="C62" s="43"/>
      <c r="D62" s="524"/>
      <c r="E62" s="524"/>
      <c r="F62" s="524"/>
      <c r="G62" s="524"/>
      <c r="H62" s="95"/>
    </row>
    <row r="63" spans="3:8" x14ac:dyDescent="0.3">
      <c r="C63" s="43"/>
      <c r="D63" s="524"/>
      <c r="E63" s="524"/>
      <c r="F63" s="524"/>
      <c r="G63" s="524"/>
      <c r="H63" s="95"/>
    </row>
    <row r="64" spans="3:8" x14ac:dyDescent="0.3">
      <c r="C64" s="43"/>
      <c r="D64" s="524"/>
      <c r="E64" s="524"/>
      <c r="F64" s="524"/>
      <c r="G64" s="524"/>
      <c r="H64" s="95"/>
    </row>
    <row r="65" spans="3:8" x14ac:dyDescent="0.3">
      <c r="C65" s="43"/>
      <c r="D65" s="524"/>
      <c r="E65" s="524"/>
      <c r="F65" s="524"/>
      <c r="G65" s="524"/>
      <c r="H65" s="95"/>
    </row>
    <row r="66" spans="3:8" x14ac:dyDescent="0.3">
      <c r="C66" s="43"/>
      <c r="D66" s="524"/>
      <c r="E66" s="524"/>
      <c r="F66" s="524"/>
      <c r="G66" s="524"/>
      <c r="H66" s="95"/>
    </row>
    <row r="67" spans="3:8" x14ac:dyDescent="0.3">
      <c r="C67" s="43"/>
      <c r="D67" s="524"/>
      <c r="E67" s="524"/>
      <c r="F67" s="524"/>
      <c r="G67" s="524"/>
      <c r="H67" s="95"/>
    </row>
    <row r="68" spans="3:8" x14ac:dyDescent="0.3">
      <c r="C68" s="43"/>
      <c r="D68" s="524"/>
      <c r="E68" s="524"/>
      <c r="F68" s="524"/>
      <c r="G68" s="524"/>
      <c r="H68" s="95"/>
    </row>
    <row r="69" spans="3:8" x14ac:dyDescent="0.3">
      <c r="C69" s="43"/>
      <c r="D69" s="524"/>
      <c r="E69" s="524"/>
      <c r="F69" s="524"/>
      <c r="G69" s="524"/>
      <c r="H69" s="95"/>
    </row>
    <row r="70" spans="3:8" x14ac:dyDescent="0.3">
      <c r="C70" s="43"/>
      <c r="D70" s="524"/>
      <c r="E70" s="524"/>
      <c r="F70" s="524"/>
      <c r="G70" s="524"/>
      <c r="H70" s="95"/>
    </row>
    <row r="71" spans="3:8" x14ac:dyDescent="0.3">
      <c r="C71" s="43"/>
      <c r="D71" s="524"/>
      <c r="E71" s="524"/>
      <c r="F71" s="524"/>
      <c r="G71" s="524"/>
      <c r="H71" s="95"/>
    </row>
    <row r="72" spans="3:8" x14ac:dyDescent="0.3">
      <c r="C72" s="43"/>
      <c r="D72" s="524"/>
      <c r="E72" s="524"/>
      <c r="F72" s="524"/>
      <c r="G72" s="524"/>
      <c r="H72" s="95"/>
    </row>
    <row r="73" spans="3:8" x14ac:dyDescent="0.3">
      <c r="C73" s="43"/>
      <c r="D73" s="524"/>
      <c r="E73" s="524"/>
      <c r="F73" s="524"/>
      <c r="G73" s="524"/>
      <c r="H73" s="95"/>
    </row>
    <row r="74" spans="3:8" x14ac:dyDescent="0.3">
      <c r="C74" s="43"/>
      <c r="D74" s="524"/>
      <c r="E74" s="524"/>
      <c r="F74" s="524"/>
      <c r="G74" s="524"/>
      <c r="H74" s="95"/>
    </row>
    <row r="75" spans="3:8" x14ac:dyDescent="0.3">
      <c r="C75" s="43"/>
      <c r="D75" s="524"/>
      <c r="E75" s="524"/>
      <c r="F75" s="524"/>
      <c r="G75" s="524"/>
      <c r="H75" s="95"/>
    </row>
    <row r="76" spans="3:8" x14ac:dyDescent="0.3">
      <c r="C76" s="43"/>
      <c r="D76" s="524"/>
      <c r="E76" s="524"/>
      <c r="F76" s="524"/>
      <c r="G76" s="524"/>
      <c r="H76" s="95"/>
    </row>
    <row r="77" spans="3:8" x14ac:dyDescent="0.3">
      <c r="C77" s="43"/>
      <c r="D77" s="524"/>
      <c r="E77" s="524"/>
      <c r="F77" s="524"/>
      <c r="G77" s="524"/>
      <c r="H77" s="95"/>
    </row>
    <row r="78" spans="3:8" x14ac:dyDescent="0.3">
      <c r="C78" s="43"/>
      <c r="D78" s="524"/>
      <c r="E78" s="524"/>
      <c r="F78" s="524"/>
      <c r="G78" s="524"/>
      <c r="H78" s="95"/>
    </row>
    <row r="79" spans="3:8" x14ac:dyDescent="0.3">
      <c r="C79" s="43"/>
      <c r="D79" s="524"/>
      <c r="E79" s="524"/>
      <c r="F79" s="524"/>
      <c r="G79" s="524"/>
      <c r="H79" s="95"/>
    </row>
    <row r="80" spans="3:8" x14ac:dyDescent="0.3">
      <c r="C80" s="43"/>
      <c r="D80" s="524"/>
      <c r="E80" s="524"/>
      <c r="F80" s="524"/>
      <c r="G80" s="524"/>
      <c r="H80" s="95"/>
    </row>
    <row r="81" spans="3:8" x14ac:dyDescent="0.3">
      <c r="C81" s="43"/>
      <c r="D81" s="524"/>
      <c r="E81" s="524"/>
      <c r="F81" s="524"/>
      <c r="G81" s="524"/>
      <c r="H81" s="95"/>
    </row>
    <row r="82" spans="3:8" x14ac:dyDescent="0.3">
      <c r="C82" s="43"/>
      <c r="D82" s="524"/>
      <c r="E82" s="524"/>
      <c r="F82" s="524"/>
      <c r="G82" s="524"/>
      <c r="H82" s="95"/>
    </row>
    <row r="83" spans="3:8" x14ac:dyDescent="0.3">
      <c r="C83" s="43"/>
      <c r="D83" s="524"/>
      <c r="E83" s="524"/>
      <c r="F83" s="524"/>
      <c r="G83" s="524"/>
      <c r="H83" s="95"/>
    </row>
    <row r="84" spans="3:8" x14ac:dyDescent="0.3">
      <c r="C84" s="43"/>
      <c r="D84" s="524"/>
      <c r="E84" s="524"/>
      <c r="F84" s="524"/>
      <c r="G84" s="524"/>
      <c r="H84" s="95"/>
    </row>
    <row r="85" spans="3:8" x14ac:dyDescent="0.3">
      <c r="C85" s="43"/>
      <c r="D85" s="524"/>
      <c r="E85" s="524"/>
      <c r="F85" s="524"/>
      <c r="G85" s="524"/>
      <c r="H85" s="95"/>
    </row>
    <row r="86" spans="3:8" x14ac:dyDescent="0.3">
      <c r="C86" s="43"/>
      <c r="D86" s="524"/>
      <c r="E86" s="524"/>
      <c r="F86" s="524"/>
      <c r="G86" s="524"/>
      <c r="H86" s="95"/>
    </row>
    <row r="87" spans="3:8" x14ac:dyDescent="0.3">
      <c r="C87" s="43"/>
      <c r="D87" s="524"/>
      <c r="E87" s="524"/>
      <c r="F87" s="524"/>
      <c r="G87" s="524"/>
      <c r="H87" s="95"/>
    </row>
    <row r="88" spans="3:8" x14ac:dyDescent="0.3">
      <c r="C88" s="43"/>
      <c r="D88" s="524"/>
      <c r="E88" s="524"/>
      <c r="F88" s="524"/>
      <c r="G88" s="524"/>
      <c r="H88" s="95"/>
    </row>
    <row r="89" spans="3:8" x14ac:dyDescent="0.3">
      <c r="C89" s="43"/>
      <c r="D89" s="524"/>
      <c r="E89" s="524"/>
      <c r="F89" s="524"/>
      <c r="G89" s="524"/>
      <c r="H89" s="95"/>
    </row>
    <row r="90" spans="3:8" x14ac:dyDescent="0.3">
      <c r="C90" s="43"/>
      <c r="D90" s="524"/>
      <c r="E90" s="524"/>
      <c r="F90" s="524"/>
      <c r="G90" s="524"/>
      <c r="H90" s="95"/>
    </row>
    <row r="91" spans="3:8" x14ac:dyDescent="0.3">
      <c r="C91" s="43"/>
      <c r="D91" s="524"/>
      <c r="E91" s="524"/>
      <c r="F91" s="524"/>
      <c r="G91" s="524"/>
      <c r="H91" s="95"/>
    </row>
    <row r="92" spans="3:8" x14ac:dyDescent="0.3">
      <c r="C92" s="43"/>
      <c r="D92" s="524"/>
      <c r="E92" s="524"/>
      <c r="F92" s="524"/>
      <c r="G92" s="524"/>
      <c r="H92" s="95"/>
    </row>
    <row r="93" spans="3:8" x14ac:dyDescent="0.3">
      <c r="C93" s="43"/>
      <c r="D93" s="524"/>
      <c r="E93" s="524"/>
      <c r="F93" s="524"/>
      <c r="G93" s="524"/>
      <c r="H93" s="95"/>
    </row>
    <row r="94" spans="3:8" x14ac:dyDescent="0.3">
      <c r="C94" s="43"/>
      <c r="D94" s="524"/>
      <c r="E94" s="524"/>
      <c r="F94" s="524"/>
      <c r="G94" s="524"/>
      <c r="H94" s="95"/>
    </row>
    <row r="95" spans="3:8" x14ac:dyDescent="0.3">
      <c r="C95" s="43"/>
      <c r="D95" s="524"/>
      <c r="E95" s="524"/>
      <c r="F95" s="524"/>
      <c r="G95" s="524"/>
      <c r="H95" s="95"/>
    </row>
    <row r="96" spans="3:8" x14ac:dyDescent="0.3">
      <c r="C96" s="43"/>
      <c r="D96" s="524"/>
      <c r="E96" s="524"/>
      <c r="F96" s="524"/>
      <c r="G96" s="524"/>
      <c r="H96" s="95"/>
    </row>
    <row r="97" spans="3:8" x14ac:dyDescent="0.3">
      <c r="C97" s="43"/>
      <c r="D97" s="524"/>
      <c r="E97" s="524"/>
      <c r="F97" s="524"/>
      <c r="G97" s="524"/>
      <c r="H97" s="95"/>
    </row>
    <row r="98" spans="3:8" x14ac:dyDescent="0.3">
      <c r="C98" s="43"/>
      <c r="D98" s="524"/>
      <c r="E98" s="524"/>
      <c r="F98" s="524"/>
      <c r="G98" s="524"/>
      <c r="H98" s="95"/>
    </row>
    <row r="99" spans="3:8" x14ac:dyDescent="0.3">
      <c r="C99" s="43"/>
      <c r="D99" s="524"/>
      <c r="E99" s="524"/>
      <c r="F99" s="524"/>
      <c r="G99" s="524"/>
      <c r="H99" s="95"/>
    </row>
    <row r="100" spans="3:8" x14ac:dyDescent="0.3">
      <c r="C100" s="43"/>
      <c r="D100" s="524"/>
      <c r="E100" s="524"/>
      <c r="F100" s="524"/>
      <c r="G100" s="524"/>
      <c r="H100" s="95"/>
    </row>
    <row r="101" spans="3:8" x14ac:dyDescent="0.3">
      <c r="C101" s="43"/>
      <c r="D101" s="524"/>
      <c r="E101" s="524"/>
      <c r="F101" s="524"/>
      <c r="G101" s="524"/>
      <c r="H101" s="95"/>
    </row>
    <row r="102" spans="3:8" x14ac:dyDescent="0.3">
      <c r="C102" s="43"/>
      <c r="D102" s="524"/>
      <c r="E102" s="524"/>
      <c r="F102" s="524"/>
      <c r="G102" s="524"/>
      <c r="H102" s="95"/>
    </row>
    <row r="103" spans="3:8" x14ac:dyDescent="0.3">
      <c r="C103" s="43"/>
      <c r="D103" s="524"/>
      <c r="E103" s="524"/>
      <c r="F103" s="524"/>
      <c r="G103" s="524"/>
      <c r="H103" s="95"/>
    </row>
    <row r="104" spans="3:8" x14ac:dyDescent="0.3">
      <c r="C104" s="43"/>
      <c r="D104" s="524"/>
      <c r="E104" s="524"/>
      <c r="F104" s="524"/>
      <c r="G104" s="524"/>
      <c r="H104" s="95"/>
    </row>
  </sheetData>
  <mergeCells count="4">
    <mergeCell ref="D7:G7"/>
    <mergeCell ref="H7:K7"/>
    <mergeCell ref="D8:G8"/>
    <mergeCell ref="H8:K8"/>
  </mergeCells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4:Z130"/>
  <sheetViews>
    <sheetView topLeftCell="A48" zoomScale="90" zoomScaleNormal="90" zoomScalePageLayoutView="90" workbookViewId="0">
      <selection activeCell="B49" sqref="B49:J49"/>
    </sheetView>
  </sheetViews>
  <sheetFormatPr defaultColWidth="8.6640625" defaultRowHeight="14.4" x14ac:dyDescent="0.3"/>
  <cols>
    <col min="1" max="1" width="2.44140625" style="1" customWidth="1"/>
    <col min="2" max="2" width="11.33203125" style="1" customWidth="1"/>
    <col min="3" max="3" width="61.44140625" style="1" customWidth="1"/>
    <col min="4" max="4" width="18.44140625" style="1" customWidth="1"/>
    <col min="5" max="5" width="17" style="1" customWidth="1"/>
    <col min="6" max="6" width="17" style="1" bestFit="1" customWidth="1"/>
    <col min="7" max="7" width="17.6640625" style="1" bestFit="1" customWidth="1"/>
    <col min="8" max="8" width="17.44140625" style="1" bestFit="1" customWidth="1"/>
    <col min="9" max="9" width="15" style="458" bestFit="1" customWidth="1"/>
    <col min="10" max="10" width="11.6640625" style="1" bestFit="1" customWidth="1"/>
    <col min="11" max="14" width="14.44140625" style="1" bestFit="1" customWidth="1"/>
    <col min="15" max="15" width="14.44140625" style="2" bestFit="1" customWidth="1"/>
    <col min="16" max="19" width="17" style="2" hidden="1" customWidth="1"/>
    <col min="20" max="20" width="17" style="2" bestFit="1" customWidth="1"/>
    <col min="21" max="24" width="17" style="2" hidden="1" customWidth="1"/>
    <col min="25" max="25" width="17" style="2" bestFit="1" customWidth="1"/>
    <col min="26" max="26" width="17.6640625" style="2" bestFit="1" customWidth="1"/>
    <col min="27" max="256" width="8.6640625" style="1"/>
    <col min="257" max="257" width="2.44140625" style="1" customWidth="1"/>
    <col min="258" max="258" width="11.33203125" style="1" customWidth="1"/>
    <col min="259" max="259" width="61.44140625" style="1" customWidth="1"/>
    <col min="260" max="260" width="15.44140625" style="1" bestFit="1" customWidth="1"/>
    <col min="261" max="261" width="17" style="1" customWidth="1"/>
    <col min="262" max="262" width="17" style="1" bestFit="1" customWidth="1"/>
    <col min="263" max="263" width="17.6640625" style="1" bestFit="1" customWidth="1"/>
    <col min="264" max="264" width="17.44140625" style="1" bestFit="1" customWidth="1"/>
    <col min="265" max="265" width="15" style="1" bestFit="1" customWidth="1"/>
    <col min="266" max="266" width="11.6640625" style="1" bestFit="1" customWidth="1"/>
    <col min="267" max="271" width="14.44140625" style="1" bestFit="1" customWidth="1"/>
    <col min="272" max="275" width="0" style="1" hidden="1" customWidth="1"/>
    <col min="276" max="276" width="17" style="1" bestFit="1" customWidth="1"/>
    <col min="277" max="280" width="0" style="1" hidden="1" customWidth="1"/>
    <col min="281" max="281" width="17" style="1" bestFit="1" customWidth="1"/>
    <col min="282" max="282" width="17.6640625" style="1" bestFit="1" customWidth="1"/>
    <col min="283" max="512" width="8.6640625" style="1"/>
    <col min="513" max="513" width="2.44140625" style="1" customWidth="1"/>
    <col min="514" max="514" width="11.33203125" style="1" customWidth="1"/>
    <col min="515" max="515" width="61.44140625" style="1" customWidth="1"/>
    <col min="516" max="516" width="15.44140625" style="1" bestFit="1" customWidth="1"/>
    <col min="517" max="517" width="17" style="1" customWidth="1"/>
    <col min="518" max="518" width="17" style="1" bestFit="1" customWidth="1"/>
    <col min="519" max="519" width="17.6640625" style="1" bestFit="1" customWidth="1"/>
    <col min="520" max="520" width="17.44140625" style="1" bestFit="1" customWidth="1"/>
    <col min="521" max="521" width="15" style="1" bestFit="1" customWidth="1"/>
    <col min="522" max="522" width="11.6640625" style="1" bestFit="1" customWidth="1"/>
    <col min="523" max="527" width="14.44140625" style="1" bestFit="1" customWidth="1"/>
    <col min="528" max="531" width="0" style="1" hidden="1" customWidth="1"/>
    <col min="532" max="532" width="17" style="1" bestFit="1" customWidth="1"/>
    <col min="533" max="536" width="0" style="1" hidden="1" customWidth="1"/>
    <col min="537" max="537" width="17" style="1" bestFit="1" customWidth="1"/>
    <col min="538" max="538" width="17.6640625" style="1" bestFit="1" customWidth="1"/>
    <col min="539" max="768" width="8.6640625" style="1"/>
    <col min="769" max="769" width="2.44140625" style="1" customWidth="1"/>
    <col min="770" max="770" width="11.33203125" style="1" customWidth="1"/>
    <col min="771" max="771" width="61.44140625" style="1" customWidth="1"/>
    <col min="772" max="772" width="15.44140625" style="1" bestFit="1" customWidth="1"/>
    <col min="773" max="773" width="17" style="1" customWidth="1"/>
    <col min="774" max="774" width="17" style="1" bestFit="1" customWidth="1"/>
    <col min="775" max="775" width="17.6640625" style="1" bestFit="1" customWidth="1"/>
    <col min="776" max="776" width="17.44140625" style="1" bestFit="1" customWidth="1"/>
    <col min="777" max="777" width="15" style="1" bestFit="1" customWidth="1"/>
    <col min="778" max="778" width="11.6640625" style="1" bestFit="1" customWidth="1"/>
    <col min="779" max="783" width="14.44140625" style="1" bestFit="1" customWidth="1"/>
    <col min="784" max="787" width="0" style="1" hidden="1" customWidth="1"/>
    <col min="788" max="788" width="17" style="1" bestFit="1" customWidth="1"/>
    <col min="789" max="792" width="0" style="1" hidden="1" customWidth="1"/>
    <col min="793" max="793" width="17" style="1" bestFit="1" customWidth="1"/>
    <col min="794" max="794" width="17.6640625" style="1" bestFit="1" customWidth="1"/>
    <col min="795" max="1024" width="8.6640625" style="1"/>
    <col min="1025" max="1025" width="2.44140625" style="1" customWidth="1"/>
    <col min="1026" max="1026" width="11.33203125" style="1" customWidth="1"/>
    <col min="1027" max="1027" width="61.44140625" style="1" customWidth="1"/>
    <col min="1028" max="1028" width="15.44140625" style="1" bestFit="1" customWidth="1"/>
    <col min="1029" max="1029" width="17" style="1" customWidth="1"/>
    <col min="1030" max="1030" width="17" style="1" bestFit="1" customWidth="1"/>
    <col min="1031" max="1031" width="17.6640625" style="1" bestFit="1" customWidth="1"/>
    <col min="1032" max="1032" width="17.44140625" style="1" bestFit="1" customWidth="1"/>
    <col min="1033" max="1033" width="15" style="1" bestFit="1" customWidth="1"/>
    <col min="1034" max="1034" width="11.6640625" style="1" bestFit="1" customWidth="1"/>
    <col min="1035" max="1039" width="14.44140625" style="1" bestFit="1" customWidth="1"/>
    <col min="1040" max="1043" width="0" style="1" hidden="1" customWidth="1"/>
    <col min="1044" max="1044" width="17" style="1" bestFit="1" customWidth="1"/>
    <col min="1045" max="1048" width="0" style="1" hidden="1" customWidth="1"/>
    <col min="1049" max="1049" width="17" style="1" bestFit="1" customWidth="1"/>
    <col min="1050" max="1050" width="17.6640625" style="1" bestFit="1" customWidth="1"/>
    <col min="1051" max="1280" width="8.6640625" style="1"/>
    <col min="1281" max="1281" width="2.44140625" style="1" customWidth="1"/>
    <col min="1282" max="1282" width="11.33203125" style="1" customWidth="1"/>
    <col min="1283" max="1283" width="61.44140625" style="1" customWidth="1"/>
    <col min="1284" max="1284" width="15.44140625" style="1" bestFit="1" customWidth="1"/>
    <col min="1285" max="1285" width="17" style="1" customWidth="1"/>
    <col min="1286" max="1286" width="17" style="1" bestFit="1" customWidth="1"/>
    <col min="1287" max="1287" width="17.6640625" style="1" bestFit="1" customWidth="1"/>
    <col min="1288" max="1288" width="17.44140625" style="1" bestFit="1" customWidth="1"/>
    <col min="1289" max="1289" width="15" style="1" bestFit="1" customWidth="1"/>
    <col min="1290" max="1290" width="11.6640625" style="1" bestFit="1" customWidth="1"/>
    <col min="1291" max="1295" width="14.44140625" style="1" bestFit="1" customWidth="1"/>
    <col min="1296" max="1299" width="0" style="1" hidden="1" customWidth="1"/>
    <col min="1300" max="1300" width="17" style="1" bestFit="1" customWidth="1"/>
    <col min="1301" max="1304" width="0" style="1" hidden="1" customWidth="1"/>
    <col min="1305" max="1305" width="17" style="1" bestFit="1" customWidth="1"/>
    <col min="1306" max="1306" width="17.6640625" style="1" bestFit="1" customWidth="1"/>
    <col min="1307" max="1536" width="8.6640625" style="1"/>
    <col min="1537" max="1537" width="2.44140625" style="1" customWidth="1"/>
    <col min="1538" max="1538" width="11.33203125" style="1" customWidth="1"/>
    <col min="1539" max="1539" width="61.44140625" style="1" customWidth="1"/>
    <col min="1540" max="1540" width="15.44140625" style="1" bestFit="1" customWidth="1"/>
    <col min="1541" max="1541" width="17" style="1" customWidth="1"/>
    <col min="1542" max="1542" width="17" style="1" bestFit="1" customWidth="1"/>
    <col min="1543" max="1543" width="17.6640625" style="1" bestFit="1" customWidth="1"/>
    <col min="1544" max="1544" width="17.44140625" style="1" bestFit="1" customWidth="1"/>
    <col min="1545" max="1545" width="15" style="1" bestFit="1" customWidth="1"/>
    <col min="1546" max="1546" width="11.6640625" style="1" bestFit="1" customWidth="1"/>
    <col min="1547" max="1551" width="14.44140625" style="1" bestFit="1" customWidth="1"/>
    <col min="1552" max="1555" width="0" style="1" hidden="1" customWidth="1"/>
    <col min="1556" max="1556" width="17" style="1" bestFit="1" customWidth="1"/>
    <col min="1557" max="1560" width="0" style="1" hidden="1" customWidth="1"/>
    <col min="1561" max="1561" width="17" style="1" bestFit="1" customWidth="1"/>
    <col min="1562" max="1562" width="17.6640625" style="1" bestFit="1" customWidth="1"/>
    <col min="1563" max="1792" width="8.6640625" style="1"/>
    <col min="1793" max="1793" width="2.44140625" style="1" customWidth="1"/>
    <col min="1794" max="1794" width="11.33203125" style="1" customWidth="1"/>
    <col min="1795" max="1795" width="61.44140625" style="1" customWidth="1"/>
    <col min="1796" max="1796" width="15.44140625" style="1" bestFit="1" customWidth="1"/>
    <col min="1797" max="1797" width="17" style="1" customWidth="1"/>
    <col min="1798" max="1798" width="17" style="1" bestFit="1" customWidth="1"/>
    <col min="1799" max="1799" width="17.6640625" style="1" bestFit="1" customWidth="1"/>
    <col min="1800" max="1800" width="17.44140625" style="1" bestFit="1" customWidth="1"/>
    <col min="1801" max="1801" width="15" style="1" bestFit="1" customWidth="1"/>
    <col min="1802" max="1802" width="11.6640625" style="1" bestFit="1" customWidth="1"/>
    <col min="1803" max="1807" width="14.44140625" style="1" bestFit="1" customWidth="1"/>
    <col min="1808" max="1811" width="0" style="1" hidden="1" customWidth="1"/>
    <col min="1812" max="1812" width="17" style="1" bestFit="1" customWidth="1"/>
    <col min="1813" max="1816" width="0" style="1" hidden="1" customWidth="1"/>
    <col min="1817" max="1817" width="17" style="1" bestFit="1" customWidth="1"/>
    <col min="1818" max="1818" width="17.6640625" style="1" bestFit="1" customWidth="1"/>
    <col min="1819" max="2048" width="8.6640625" style="1"/>
    <col min="2049" max="2049" width="2.44140625" style="1" customWidth="1"/>
    <col min="2050" max="2050" width="11.33203125" style="1" customWidth="1"/>
    <col min="2051" max="2051" width="61.44140625" style="1" customWidth="1"/>
    <col min="2052" max="2052" width="15.44140625" style="1" bestFit="1" customWidth="1"/>
    <col min="2053" max="2053" width="17" style="1" customWidth="1"/>
    <col min="2054" max="2054" width="17" style="1" bestFit="1" customWidth="1"/>
    <col min="2055" max="2055" width="17.6640625" style="1" bestFit="1" customWidth="1"/>
    <col min="2056" max="2056" width="17.44140625" style="1" bestFit="1" customWidth="1"/>
    <col min="2057" max="2057" width="15" style="1" bestFit="1" customWidth="1"/>
    <col min="2058" max="2058" width="11.6640625" style="1" bestFit="1" customWidth="1"/>
    <col min="2059" max="2063" width="14.44140625" style="1" bestFit="1" customWidth="1"/>
    <col min="2064" max="2067" width="0" style="1" hidden="1" customWidth="1"/>
    <col min="2068" max="2068" width="17" style="1" bestFit="1" customWidth="1"/>
    <col min="2069" max="2072" width="0" style="1" hidden="1" customWidth="1"/>
    <col min="2073" max="2073" width="17" style="1" bestFit="1" customWidth="1"/>
    <col min="2074" max="2074" width="17.6640625" style="1" bestFit="1" customWidth="1"/>
    <col min="2075" max="2304" width="8.6640625" style="1"/>
    <col min="2305" max="2305" width="2.44140625" style="1" customWidth="1"/>
    <col min="2306" max="2306" width="11.33203125" style="1" customWidth="1"/>
    <col min="2307" max="2307" width="61.44140625" style="1" customWidth="1"/>
    <col min="2308" max="2308" width="15.44140625" style="1" bestFit="1" customWidth="1"/>
    <col min="2309" max="2309" width="17" style="1" customWidth="1"/>
    <col min="2310" max="2310" width="17" style="1" bestFit="1" customWidth="1"/>
    <col min="2311" max="2311" width="17.6640625" style="1" bestFit="1" customWidth="1"/>
    <col min="2312" max="2312" width="17.44140625" style="1" bestFit="1" customWidth="1"/>
    <col min="2313" max="2313" width="15" style="1" bestFit="1" customWidth="1"/>
    <col min="2314" max="2314" width="11.6640625" style="1" bestFit="1" customWidth="1"/>
    <col min="2315" max="2319" width="14.44140625" style="1" bestFit="1" customWidth="1"/>
    <col min="2320" max="2323" width="0" style="1" hidden="1" customWidth="1"/>
    <col min="2324" max="2324" width="17" style="1" bestFit="1" customWidth="1"/>
    <col min="2325" max="2328" width="0" style="1" hidden="1" customWidth="1"/>
    <col min="2329" max="2329" width="17" style="1" bestFit="1" customWidth="1"/>
    <col min="2330" max="2330" width="17.6640625" style="1" bestFit="1" customWidth="1"/>
    <col min="2331" max="2560" width="8.6640625" style="1"/>
    <col min="2561" max="2561" width="2.44140625" style="1" customWidth="1"/>
    <col min="2562" max="2562" width="11.33203125" style="1" customWidth="1"/>
    <col min="2563" max="2563" width="61.44140625" style="1" customWidth="1"/>
    <col min="2564" max="2564" width="15.44140625" style="1" bestFit="1" customWidth="1"/>
    <col min="2565" max="2565" width="17" style="1" customWidth="1"/>
    <col min="2566" max="2566" width="17" style="1" bestFit="1" customWidth="1"/>
    <col min="2567" max="2567" width="17.6640625" style="1" bestFit="1" customWidth="1"/>
    <col min="2568" max="2568" width="17.44140625" style="1" bestFit="1" customWidth="1"/>
    <col min="2569" max="2569" width="15" style="1" bestFit="1" customWidth="1"/>
    <col min="2570" max="2570" width="11.6640625" style="1" bestFit="1" customWidth="1"/>
    <col min="2571" max="2575" width="14.44140625" style="1" bestFit="1" customWidth="1"/>
    <col min="2576" max="2579" width="0" style="1" hidden="1" customWidth="1"/>
    <col min="2580" max="2580" width="17" style="1" bestFit="1" customWidth="1"/>
    <col min="2581" max="2584" width="0" style="1" hidden="1" customWidth="1"/>
    <col min="2585" max="2585" width="17" style="1" bestFit="1" customWidth="1"/>
    <col min="2586" max="2586" width="17.6640625" style="1" bestFit="1" customWidth="1"/>
    <col min="2587" max="2816" width="8.6640625" style="1"/>
    <col min="2817" max="2817" width="2.44140625" style="1" customWidth="1"/>
    <col min="2818" max="2818" width="11.33203125" style="1" customWidth="1"/>
    <col min="2819" max="2819" width="61.44140625" style="1" customWidth="1"/>
    <col min="2820" max="2820" width="15.44140625" style="1" bestFit="1" customWidth="1"/>
    <col min="2821" max="2821" width="17" style="1" customWidth="1"/>
    <col min="2822" max="2822" width="17" style="1" bestFit="1" customWidth="1"/>
    <col min="2823" max="2823" width="17.6640625" style="1" bestFit="1" customWidth="1"/>
    <col min="2824" max="2824" width="17.44140625" style="1" bestFit="1" customWidth="1"/>
    <col min="2825" max="2825" width="15" style="1" bestFit="1" customWidth="1"/>
    <col min="2826" max="2826" width="11.6640625" style="1" bestFit="1" customWidth="1"/>
    <col min="2827" max="2831" width="14.44140625" style="1" bestFit="1" customWidth="1"/>
    <col min="2832" max="2835" width="0" style="1" hidden="1" customWidth="1"/>
    <col min="2836" max="2836" width="17" style="1" bestFit="1" customWidth="1"/>
    <col min="2837" max="2840" width="0" style="1" hidden="1" customWidth="1"/>
    <col min="2841" max="2841" width="17" style="1" bestFit="1" customWidth="1"/>
    <col min="2842" max="2842" width="17.6640625" style="1" bestFit="1" customWidth="1"/>
    <col min="2843" max="3072" width="8.6640625" style="1"/>
    <col min="3073" max="3073" width="2.44140625" style="1" customWidth="1"/>
    <col min="3074" max="3074" width="11.33203125" style="1" customWidth="1"/>
    <col min="3075" max="3075" width="61.44140625" style="1" customWidth="1"/>
    <col min="3076" max="3076" width="15.44140625" style="1" bestFit="1" customWidth="1"/>
    <col min="3077" max="3077" width="17" style="1" customWidth="1"/>
    <col min="3078" max="3078" width="17" style="1" bestFit="1" customWidth="1"/>
    <col min="3079" max="3079" width="17.6640625" style="1" bestFit="1" customWidth="1"/>
    <col min="3080" max="3080" width="17.44140625" style="1" bestFit="1" customWidth="1"/>
    <col min="3081" max="3081" width="15" style="1" bestFit="1" customWidth="1"/>
    <col min="3082" max="3082" width="11.6640625" style="1" bestFit="1" customWidth="1"/>
    <col min="3083" max="3087" width="14.44140625" style="1" bestFit="1" customWidth="1"/>
    <col min="3088" max="3091" width="0" style="1" hidden="1" customWidth="1"/>
    <col min="3092" max="3092" width="17" style="1" bestFit="1" customWidth="1"/>
    <col min="3093" max="3096" width="0" style="1" hidden="1" customWidth="1"/>
    <col min="3097" max="3097" width="17" style="1" bestFit="1" customWidth="1"/>
    <col min="3098" max="3098" width="17.6640625" style="1" bestFit="1" customWidth="1"/>
    <col min="3099" max="3328" width="8.6640625" style="1"/>
    <col min="3329" max="3329" width="2.44140625" style="1" customWidth="1"/>
    <col min="3330" max="3330" width="11.33203125" style="1" customWidth="1"/>
    <col min="3331" max="3331" width="61.44140625" style="1" customWidth="1"/>
    <col min="3332" max="3332" width="15.44140625" style="1" bestFit="1" customWidth="1"/>
    <col min="3333" max="3333" width="17" style="1" customWidth="1"/>
    <col min="3334" max="3334" width="17" style="1" bestFit="1" customWidth="1"/>
    <col min="3335" max="3335" width="17.6640625" style="1" bestFit="1" customWidth="1"/>
    <col min="3336" max="3336" width="17.44140625" style="1" bestFit="1" customWidth="1"/>
    <col min="3337" max="3337" width="15" style="1" bestFit="1" customWidth="1"/>
    <col min="3338" max="3338" width="11.6640625" style="1" bestFit="1" customWidth="1"/>
    <col min="3339" max="3343" width="14.44140625" style="1" bestFit="1" customWidth="1"/>
    <col min="3344" max="3347" width="0" style="1" hidden="1" customWidth="1"/>
    <col min="3348" max="3348" width="17" style="1" bestFit="1" customWidth="1"/>
    <col min="3349" max="3352" width="0" style="1" hidden="1" customWidth="1"/>
    <col min="3353" max="3353" width="17" style="1" bestFit="1" customWidth="1"/>
    <col min="3354" max="3354" width="17.6640625" style="1" bestFit="1" customWidth="1"/>
    <col min="3355" max="3584" width="8.6640625" style="1"/>
    <col min="3585" max="3585" width="2.44140625" style="1" customWidth="1"/>
    <col min="3586" max="3586" width="11.33203125" style="1" customWidth="1"/>
    <col min="3587" max="3587" width="61.44140625" style="1" customWidth="1"/>
    <col min="3588" max="3588" width="15.44140625" style="1" bestFit="1" customWidth="1"/>
    <col min="3589" max="3589" width="17" style="1" customWidth="1"/>
    <col min="3590" max="3590" width="17" style="1" bestFit="1" customWidth="1"/>
    <col min="3591" max="3591" width="17.6640625" style="1" bestFit="1" customWidth="1"/>
    <col min="3592" max="3592" width="17.44140625" style="1" bestFit="1" customWidth="1"/>
    <col min="3593" max="3593" width="15" style="1" bestFit="1" customWidth="1"/>
    <col min="3594" max="3594" width="11.6640625" style="1" bestFit="1" customWidth="1"/>
    <col min="3595" max="3599" width="14.44140625" style="1" bestFit="1" customWidth="1"/>
    <col min="3600" max="3603" width="0" style="1" hidden="1" customWidth="1"/>
    <col min="3604" max="3604" width="17" style="1" bestFit="1" customWidth="1"/>
    <col min="3605" max="3608" width="0" style="1" hidden="1" customWidth="1"/>
    <col min="3609" max="3609" width="17" style="1" bestFit="1" customWidth="1"/>
    <col min="3610" max="3610" width="17.6640625" style="1" bestFit="1" customWidth="1"/>
    <col min="3611" max="3840" width="8.6640625" style="1"/>
    <col min="3841" max="3841" width="2.44140625" style="1" customWidth="1"/>
    <col min="3842" max="3842" width="11.33203125" style="1" customWidth="1"/>
    <col min="3843" max="3843" width="61.44140625" style="1" customWidth="1"/>
    <col min="3844" max="3844" width="15.44140625" style="1" bestFit="1" customWidth="1"/>
    <col min="3845" max="3845" width="17" style="1" customWidth="1"/>
    <col min="3846" max="3846" width="17" style="1" bestFit="1" customWidth="1"/>
    <col min="3847" max="3847" width="17.6640625" style="1" bestFit="1" customWidth="1"/>
    <col min="3848" max="3848" width="17.44140625" style="1" bestFit="1" customWidth="1"/>
    <col min="3849" max="3849" width="15" style="1" bestFit="1" customWidth="1"/>
    <col min="3850" max="3850" width="11.6640625" style="1" bestFit="1" customWidth="1"/>
    <col min="3851" max="3855" width="14.44140625" style="1" bestFit="1" customWidth="1"/>
    <col min="3856" max="3859" width="0" style="1" hidden="1" customWidth="1"/>
    <col min="3860" max="3860" width="17" style="1" bestFit="1" customWidth="1"/>
    <col min="3861" max="3864" width="0" style="1" hidden="1" customWidth="1"/>
    <col min="3865" max="3865" width="17" style="1" bestFit="1" customWidth="1"/>
    <col min="3866" max="3866" width="17.6640625" style="1" bestFit="1" customWidth="1"/>
    <col min="3867" max="4096" width="8.6640625" style="1"/>
    <col min="4097" max="4097" width="2.44140625" style="1" customWidth="1"/>
    <col min="4098" max="4098" width="11.33203125" style="1" customWidth="1"/>
    <col min="4099" max="4099" width="61.44140625" style="1" customWidth="1"/>
    <col min="4100" max="4100" width="15.44140625" style="1" bestFit="1" customWidth="1"/>
    <col min="4101" max="4101" width="17" style="1" customWidth="1"/>
    <col min="4102" max="4102" width="17" style="1" bestFit="1" customWidth="1"/>
    <col min="4103" max="4103" width="17.6640625" style="1" bestFit="1" customWidth="1"/>
    <col min="4104" max="4104" width="17.44140625" style="1" bestFit="1" customWidth="1"/>
    <col min="4105" max="4105" width="15" style="1" bestFit="1" customWidth="1"/>
    <col min="4106" max="4106" width="11.6640625" style="1" bestFit="1" customWidth="1"/>
    <col min="4107" max="4111" width="14.44140625" style="1" bestFit="1" customWidth="1"/>
    <col min="4112" max="4115" width="0" style="1" hidden="1" customWidth="1"/>
    <col min="4116" max="4116" width="17" style="1" bestFit="1" customWidth="1"/>
    <col min="4117" max="4120" width="0" style="1" hidden="1" customWidth="1"/>
    <col min="4121" max="4121" width="17" style="1" bestFit="1" customWidth="1"/>
    <col min="4122" max="4122" width="17.6640625" style="1" bestFit="1" customWidth="1"/>
    <col min="4123" max="4352" width="8.6640625" style="1"/>
    <col min="4353" max="4353" width="2.44140625" style="1" customWidth="1"/>
    <col min="4354" max="4354" width="11.33203125" style="1" customWidth="1"/>
    <col min="4355" max="4355" width="61.44140625" style="1" customWidth="1"/>
    <col min="4356" max="4356" width="15.44140625" style="1" bestFit="1" customWidth="1"/>
    <col min="4357" max="4357" width="17" style="1" customWidth="1"/>
    <col min="4358" max="4358" width="17" style="1" bestFit="1" customWidth="1"/>
    <col min="4359" max="4359" width="17.6640625" style="1" bestFit="1" customWidth="1"/>
    <col min="4360" max="4360" width="17.44140625" style="1" bestFit="1" customWidth="1"/>
    <col min="4361" max="4361" width="15" style="1" bestFit="1" customWidth="1"/>
    <col min="4362" max="4362" width="11.6640625" style="1" bestFit="1" customWidth="1"/>
    <col min="4363" max="4367" width="14.44140625" style="1" bestFit="1" customWidth="1"/>
    <col min="4368" max="4371" width="0" style="1" hidden="1" customWidth="1"/>
    <col min="4372" max="4372" width="17" style="1" bestFit="1" customWidth="1"/>
    <col min="4373" max="4376" width="0" style="1" hidden="1" customWidth="1"/>
    <col min="4377" max="4377" width="17" style="1" bestFit="1" customWidth="1"/>
    <col min="4378" max="4378" width="17.6640625" style="1" bestFit="1" customWidth="1"/>
    <col min="4379" max="4608" width="8.6640625" style="1"/>
    <col min="4609" max="4609" width="2.44140625" style="1" customWidth="1"/>
    <col min="4610" max="4610" width="11.33203125" style="1" customWidth="1"/>
    <col min="4611" max="4611" width="61.44140625" style="1" customWidth="1"/>
    <col min="4612" max="4612" width="15.44140625" style="1" bestFit="1" customWidth="1"/>
    <col min="4613" max="4613" width="17" style="1" customWidth="1"/>
    <col min="4614" max="4614" width="17" style="1" bestFit="1" customWidth="1"/>
    <col min="4615" max="4615" width="17.6640625" style="1" bestFit="1" customWidth="1"/>
    <col min="4616" max="4616" width="17.44140625" style="1" bestFit="1" customWidth="1"/>
    <col min="4617" max="4617" width="15" style="1" bestFit="1" customWidth="1"/>
    <col min="4618" max="4618" width="11.6640625" style="1" bestFit="1" customWidth="1"/>
    <col min="4619" max="4623" width="14.44140625" style="1" bestFit="1" customWidth="1"/>
    <col min="4624" max="4627" width="0" style="1" hidden="1" customWidth="1"/>
    <col min="4628" max="4628" width="17" style="1" bestFit="1" customWidth="1"/>
    <col min="4629" max="4632" width="0" style="1" hidden="1" customWidth="1"/>
    <col min="4633" max="4633" width="17" style="1" bestFit="1" customWidth="1"/>
    <col min="4634" max="4634" width="17.6640625" style="1" bestFit="1" customWidth="1"/>
    <col min="4635" max="4864" width="8.6640625" style="1"/>
    <col min="4865" max="4865" width="2.44140625" style="1" customWidth="1"/>
    <col min="4866" max="4866" width="11.33203125" style="1" customWidth="1"/>
    <col min="4867" max="4867" width="61.44140625" style="1" customWidth="1"/>
    <col min="4868" max="4868" width="15.44140625" style="1" bestFit="1" customWidth="1"/>
    <col min="4869" max="4869" width="17" style="1" customWidth="1"/>
    <col min="4870" max="4870" width="17" style="1" bestFit="1" customWidth="1"/>
    <col min="4871" max="4871" width="17.6640625" style="1" bestFit="1" customWidth="1"/>
    <col min="4872" max="4872" width="17.44140625" style="1" bestFit="1" customWidth="1"/>
    <col min="4873" max="4873" width="15" style="1" bestFit="1" customWidth="1"/>
    <col min="4874" max="4874" width="11.6640625" style="1" bestFit="1" customWidth="1"/>
    <col min="4875" max="4879" width="14.44140625" style="1" bestFit="1" customWidth="1"/>
    <col min="4880" max="4883" width="0" style="1" hidden="1" customWidth="1"/>
    <col min="4884" max="4884" width="17" style="1" bestFit="1" customWidth="1"/>
    <col min="4885" max="4888" width="0" style="1" hidden="1" customWidth="1"/>
    <col min="4889" max="4889" width="17" style="1" bestFit="1" customWidth="1"/>
    <col min="4890" max="4890" width="17.6640625" style="1" bestFit="1" customWidth="1"/>
    <col min="4891" max="5120" width="8.6640625" style="1"/>
    <col min="5121" max="5121" width="2.44140625" style="1" customWidth="1"/>
    <col min="5122" max="5122" width="11.33203125" style="1" customWidth="1"/>
    <col min="5123" max="5123" width="61.44140625" style="1" customWidth="1"/>
    <col min="5124" max="5124" width="15.44140625" style="1" bestFit="1" customWidth="1"/>
    <col min="5125" max="5125" width="17" style="1" customWidth="1"/>
    <col min="5126" max="5126" width="17" style="1" bestFit="1" customWidth="1"/>
    <col min="5127" max="5127" width="17.6640625" style="1" bestFit="1" customWidth="1"/>
    <col min="5128" max="5128" width="17.44140625" style="1" bestFit="1" customWidth="1"/>
    <col min="5129" max="5129" width="15" style="1" bestFit="1" customWidth="1"/>
    <col min="5130" max="5130" width="11.6640625" style="1" bestFit="1" customWidth="1"/>
    <col min="5131" max="5135" width="14.44140625" style="1" bestFit="1" customWidth="1"/>
    <col min="5136" max="5139" width="0" style="1" hidden="1" customWidth="1"/>
    <col min="5140" max="5140" width="17" style="1" bestFit="1" customWidth="1"/>
    <col min="5141" max="5144" width="0" style="1" hidden="1" customWidth="1"/>
    <col min="5145" max="5145" width="17" style="1" bestFit="1" customWidth="1"/>
    <col min="5146" max="5146" width="17.6640625" style="1" bestFit="1" customWidth="1"/>
    <col min="5147" max="5376" width="8.6640625" style="1"/>
    <col min="5377" max="5377" width="2.44140625" style="1" customWidth="1"/>
    <col min="5378" max="5378" width="11.33203125" style="1" customWidth="1"/>
    <col min="5379" max="5379" width="61.44140625" style="1" customWidth="1"/>
    <col min="5380" max="5380" width="15.44140625" style="1" bestFit="1" customWidth="1"/>
    <col min="5381" max="5381" width="17" style="1" customWidth="1"/>
    <col min="5382" max="5382" width="17" style="1" bestFit="1" customWidth="1"/>
    <col min="5383" max="5383" width="17.6640625" style="1" bestFit="1" customWidth="1"/>
    <col min="5384" max="5384" width="17.44140625" style="1" bestFit="1" customWidth="1"/>
    <col min="5385" max="5385" width="15" style="1" bestFit="1" customWidth="1"/>
    <col min="5386" max="5386" width="11.6640625" style="1" bestFit="1" customWidth="1"/>
    <col min="5387" max="5391" width="14.44140625" style="1" bestFit="1" customWidth="1"/>
    <col min="5392" max="5395" width="0" style="1" hidden="1" customWidth="1"/>
    <col min="5396" max="5396" width="17" style="1" bestFit="1" customWidth="1"/>
    <col min="5397" max="5400" width="0" style="1" hidden="1" customWidth="1"/>
    <col min="5401" max="5401" width="17" style="1" bestFit="1" customWidth="1"/>
    <col min="5402" max="5402" width="17.6640625" style="1" bestFit="1" customWidth="1"/>
    <col min="5403" max="5632" width="8.6640625" style="1"/>
    <col min="5633" max="5633" width="2.44140625" style="1" customWidth="1"/>
    <col min="5634" max="5634" width="11.33203125" style="1" customWidth="1"/>
    <col min="5635" max="5635" width="61.44140625" style="1" customWidth="1"/>
    <col min="5636" max="5636" width="15.44140625" style="1" bestFit="1" customWidth="1"/>
    <col min="5637" max="5637" width="17" style="1" customWidth="1"/>
    <col min="5638" max="5638" width="17" style="1" bestFit="1" customWidth="1"/>
    <col min="5639" max="5639" width="17.6640625" style="1" bestFit="1" customWidth="1"/>
    <col min="5640" max="5640" width="17.44140625" style="1" bestFit="1" customWidth="1"/>
    <col min="5641" max="5641" width="15" style="1" bestFit="1" customWidth="1"/>
    <col min="5642" max="5642" width="11.6640625" style="1" bestFit="1" customWidth="1"/>
    <col min="5643" max="5647" width="14.44140625" style="1" bestFit="1" customWidth="1"/>
    <col min="5648" max="5651" width="0" style="1" hidden="1" customWidth="1"/>
    <col min="5652" max="5652" width="17" style="1" bestFit="1" customWidth="1"/>
    <col min="5653" max="5656" width="0" style="1" hidden="1" customWidth="1"/>
    <col min="5657" max="5657" width="17" style="1" bestFit="1" customWidth="1"/>
    <col min="5658" max="5658" width="17.6640625" style="1" bestFit="1" customWidth="1"/>
    <col min="5659" max="5888" width="8.6640625" style="1"/>
    <col min="5889" max="5889" width="2.44140625" style="1" customWidth="1"/>
    <col min="5890" max="5890" width="11.33203125" style="1" customWidth="1"/>
    <col min="5891" max="5891" width="61.44140625" style="1" customWidth="1"/>
    <col min="5892" max="5892" width="15.44140625" style="1" bestFit="1" customWidth="1"/>
    <col min="5893" max="5893" width="17" style="1" customWidth="1"/>
    <col min="5894" max="5894" width="17" style="1" bestFit="1" customWidth="1"/>
    <col min="5895" max="5895" width="17.6640625" style="1" bestFit="1" customWidth="1"/>
    <col min="5896" max="5896" width="17.44140625" style="1" bestFit="1" customWidth="1"/>
    <col min="5897" max="5897" width="15" style="1" bestFit="1" customWidth="1"/>
    <col min="5898" max="5898" width="11.6640625" style="1" bestFit="1" customWidth="1"/>
    <col min="5899" max="5903" width="14.44140625" style="1" bestFit="1" customWidth="1"/>
    <col min="5904" max="5907" width="0" style="1" hidden="1" customWidth="1"/>
    <col min="5908" max="5908" width="17" style="1" bestFit="1" customWidth="1"/>
    <col min="5909" max="5912" width="0" style="1" hidden="1" customWidth="1"/>
    <col min="5913" max="5913" width="17" style="1" bestFit="1" customWidth="1"/>
    <col min="5914" max="5914" width="17.6640625" style="1" bestFit="1" customWidth="1"/>
    <col min="5915" max="6144" width="8.6640625" style="1"/>
    <col min="6145" max="6145" width="2.44140625" style="1" customWidth="1"/>
    <col min="6146" max="6146" width="11.33203125" style="1" customWidth="1"/>
    <col min="6147" max="6147" width="61.44140625" style="1" customWidth="1"/>
    <col min="6148" max="6148" width="15.44140625" style="1" bestFit="1" customWidth="1"/>
    <col min="6149" max="6149" width="17" style="1" customWidth="1"/>
    <col min="6150" max="6150" width="17" style="1" bestFit="1" customWidth="1"/>
    <col min="6151" max="6151" width="17.6640625" style="1" bestFit="1" customWidth="1"/>
    <col min="6152" max="6152" width="17.44140625" style="1" bestFit="1" customWidth="1"/>
    <col min="6153" max="6153" width="15" style="1" bestFit="1" customWidth="1"/>
    <col min="6154" max="6154" width="11.6640625" style="1" bestFit="1" customWidth="1"/>
    <col min="6155" max="6159" width="14.44140625" style="1" bestFit="1" customWidth="1"/>
    <col min="6160" max="6163" width="0" style="1" hidden="1" customWidth="1"/>
    <col min="6164" max="6164" width="17" style="1" bestFit="1" customWidth="1"/>
    <col min="6165" max="6168" width="0" style="1" hidden="1" customWidth="1"/>
    <col min="6169" max="6169" width="17" style="1" bestFit="1" customWidth="1"/>
    <col min="6170" max="6170" width="17.6640625" style="1" bestFit="1" customWidth="1"/>
    <col min="6171" max="6400" width="8.6640625" style="1"/>
    <col min="6401" max="6401" width="2.44140625" style="1" customWidth="1"/>
    <col min="6402" max="6402" width="11.33203125" style="1" customWidth="1"/>
    <col min="6403" max="6403" width="61.44140625" style="1" customWidth="1"/>
    <col min="6404" max="6404" width="15.44140625" style="1" bestFit="1" customWidth="1"/>
    <col min="6405" max="6405" width="17" style="1" customWidth="1"/>
    <col min="6406" max="6406" width="17" style="1" bestFit="1" customWidth="1"/>
    <col min="6407" max="6407" width="17.6640625" style="1" bestFit="1" customWidth="1"/>
    <col min="6408" max="6408" width="17.44140625" style="1" bestFit="1" customWidth="1"/>
    <col min="6409" max="6409" width="15" style="1" bestFit="1" customWidth="1"/>
    <col min="6410" max="6410" width="11.6640625" style="1" bestFit="1" customWidth="1"/>
    <col min="6411" max="6415" width="14.44140625" style="1" bestFit="1" customWidth="1"/>
    <col min="6416" max="6419" width="0" style="1" hidden="1" customWidth="1"/>
    <col min="6420" max="6420" width="17" style="1" bestFit="1" customWidth="1"/>
    <col min="6421" max="6424" width="0" style="1" hidden="1" customWidth="1"/>
    <col min="6425" max="6425" width="17" style="1" bestFit="1" customWidth="1"/>
    <col min="6426" max="6426" width="17.6640625" style="1" bestFit="1" customWidth="1"/>
    <col min="6427" max="6656" width="8.6640625" style="1"/>
    <col min="6657" max="6657" width="2.44140625" style="1" customWidth="1"/>
    <col min="6658" max="6658" width="11.33203125" style="1" customWidth="1"/>
    <col min="6659" max="6659" width="61.44140625" style="1" customWidth="1"/>
    <col min="6660" max="6660" width="15.44140625" style="1" bestFit="1" customWidth="1"/>
    <col min="6661" max="6661" width="17" style="1" customWidth="1"/>
    <col min="6662" max="6662" width="17" style="1" bestFit="1" customWidth="1"/>
    <col min="6663" max="6663" width="17.6640625" style="1" bestFit="1" customWidth="1"/>
    <col min="6664" max="6664" width="17.44140625" style="1" bestFit="1" customWidth="1"/>
    <col min="6665" max="6665" width="15" style="1" bestFit="1" customWidth="1"/>
    <col min="6666" max="6666" width="11.6640625" style="1" bestFit="1" customWidth="1"/>
    <col min="6667" max="6671" width="14.44140625" style="1" bestFit="1" customWidth="1"/>
    <col min="6672" max="6675" width="0" style="1" hidden="1" customWidth="1"/>
    <col min="6676" max="6676" width="17" style="1" bestFit="1" customWidth="1"/>
    <col min="6677" max="6680" width="0" style="1" hidden="1" customWidth="1"/>
    <col min="6681" max="6681" width="17" style="1" bestFit="1" customWidth="1"/>
    <col min="6682" max="6682" width="17.6640625" style="1" bestFit="1" customWidth="1"/>
    <col min="6683" max="6912" width="8.6640625" style="1"/>
    <col min="6913" max="6913" width="2.44140625" style="1" customWidth="1"/>
    <col min="6914" max="6914" width="11.33203125" style="1" customWidth="1"/>
    <col min="6915" max="6915" width="61.44140625" style="1" customWidth="1"/>
    <col min="6916" max="6916" width="15.44140625" style="1" bestFit="1" customWidth="1"/>
    <col min="6917" max="6917" width="17" style="1" customWidth="1"/>
    <col min="6918" max="6918" width="17" style="1" bestFit="1" customWidth="1"/>
    <col min="6919" max="6919" width="17.6640625" style="1" bestFit="1" customWidth="1"/>
    <col min="6920" max="6920" width="17.44140625" style="1" bestFit="1" customWidth="1"/>
    <col min="6921" max="6921" width="15" style="1" bestFit="1" customWidth="1"/>
    <col min="6922" max="6922" width="11.6640625" style="1" bestFit="1" customWidth="1"/>
    <col min="6923" max="6927" width="14.44140625" style="1" bestFit="1" customWidth="1"/>
    <col min="6928" max="6931" width="0" style="1" hidden="1" customWidth="1"/>
    <col min="6932" max="6932" width="17" style="1" bestFit="1" customWidth="1"/>
    <col min="6933" max="6936" width="0" style="1" hidden="1" customWidth="1"/>
    <col min="6937" max="6937" width="17" style="1" bestFit="1" customWidth="1"/>
    <col min="6938" max="6938" width="17.6640625" style="1" bestFit="1" customWidth="1"/>
    <col min="6939" max="7168" width="8.6640625" style="1"/>
    <col min="7169" max="7169" width="2.44140625" style="1" customWidth="1"/>
    <col min="7170" max="7170" width="11.33203125" style="1" customWidth="1"/>
    <col min="7171" max="7171" width="61.44140625" style="1" customWidth="1"/>
    <col min="7172" max="7172" width="15.44140625" style="1" bestFit="1" customWidth="1"/>
    <col min="7173" max="7173" width="17" style="1" customWidth="1"/>
    <col min="7174" max="7174" width="17" style="1" bestFit="1" customWidth="1"/>
    <col min="7175" max="7175" width="17.6640625" style="1" bestFit="1" customWidth="1"/>
    <col min="7176" max="7176" width="17.44140625" style="1" bestFit="1" customWidth="1"/>
    <col min="7177" max="7177" width="15" style="1" bestFit="1" customWidth="1"/>
    <col min="7178" max="7178" width="11.6640625" style="1" bestFit="1" customWidth="1"/>
    <col min="7179" max="7183" width="14.44140625" style="1" bestFit="1" customWidth="1"/>
    <col min="7184" max="7187" width="0" style="1" hidden="1" customWidth="1"/>
    <col min="7188" max="7188" width="17" style="1" bestFit="1" customWidth="1"/>
    <col min="7189" max="7192" width="0" style="1" hidden="1" customWidth="1"/>
    <col min="7193" max="7193" width="17" style="1" bestFit="1" customWidth="1"/>
    <col min="7194" max="7194" width="17.6640625" style="1" bestFit="1" customWidth="1"/>
    <col min="7195" max="7424" width="8.6640625" style="1"/>
    <col min="7425" max="7425" width="2.44140625" style="1" customWidth="1"/>
    <col min="7426" max="7426" width="11.33203125" style="1" customWidth="1"/>
    <col min="7427" max="7427" width="61.44140625" style="1" customWidth="1"/>
    <col min="7428" max="7428" width="15.44140625" style="1" bestFit="1" customWidth="1"/>
    <col min="7429" max="7429" width="17" style="1" customWidth="1"/>
    <col min="7430" max="7430" width="17" style="1" bestFit="1" customWidth="1"/>
    <col min="7431" max="7431" width="17.6640625" style="1" bestFit="1" customWidth="1"/>
    <col min="7432" max="7432" width="17.44140625" style="1" bestFit="1" customWidth="1"/>
    <col min="7433" max="7433" width="15" style="1" bestFit="1" customWidth="1"/>
    <col min="7434" max="7434" width="11.6640625" style="1" bestFit="1" customWidth="1"/>
    <col min="7435" max="7439" width="14.44140625" style="1" bestFit="1" customWidth="1"/>
    <col min="7440" max="7443" width="0" style="1" hidden="1" customWidth="1"/>
    <col min="7444" max="7444" width="17" style="1" bestFit="1" customWidth="1"/>
    <col min="7445" max="7448" width="0" style="1" hidden="1" customWidth="1"/>
    <col min="7449" max="7449" width="17" style="1" bestFit="1" customWidth="1"/>
    <col min="7450" max="7450" width="17.6640625" style="1" bestFit="1" customWidth="1"/>
    <col min="7451" max="7680" width="8.6640625" style="1"/>
    <col min="7681" max="7681" width="2.44140625" style="1" customWidth="1"/>
    <col min="7682" max="7682" width="11.33203125" style="1" customWidth="1"/>
    <col min="7683" max="7683" width="61.44140625" style="1" customWidth="1"/>
    <col min="7684" max="7684" width="15.44140625" style="1" bestFit="1" customWidth="1"/>
    <col min="7685" max="7685" width="17" style="1" customWidth="1"/>
    <col min="7686" max="7686" width="17" style="1" bestFit="1" customWidth="1"/>
    <col min="7687" max="7687" width="17.6640625" style="1" bestFit="1" customWidth="1"/>
    <col min="7688" max="7688" width="17.44140625" style="1" bestFit="1" customWidth="1"/>
    <col min="7689" max="7689" width="15" style="1" bestFit="1" customWidth="1"/>
    <col min="7690" max="7690" width="11.6640625" style="1" bestFit="1" customWidth="1"/>
    <col min="7691" max="7695" width="14.44140625" style="1" bestFit="1" customWidth="1"/>
    <col min="7696" max="7699" width="0" style="1" hidden="1" customWidth="1"/>
    <col min="7700" max="7700" width="17" style="1" bestFit="1" customWidth="1"/>
    <col min="7701" max="7704" width="0" style="1" hidden="1" customWidth="1"/>
    <col min="7705" max="7705" width="17" style="1" bestFit="1" customWidth="1"/>
    <col min="7706" max="7706" width="17.6640625" style="1" bestFit="1" customWidth="1"/>
    <col min="7707" max="7936" width="8.6640625" style="1"/>
    <col min="7937" max="7937" width="2.44140625" style="1" customWidth="1"/>
    <col min="7938" max="7938" width="11.33203125" style="1" customWidth="1"/>
    <col min="7939" max="7939" width="61.44140625" style="1" customWidth="1"/>
    <col min="7940" max="7940" width="15.44140625" style="1" bestFit="1" customWidth="1"/>
    <col min="7941" max="7941" width="17" style="1" customWidth="1"/>
    <col min="7942" max="7942" width="17" style="1" bestFit="1" customWidth="1"/>
    <col min="7943" max="7943" width="17.6640625" style="1" bestFit="1" customWidth="1"/>
    <col min="7944" max="7944" width="17.44140625" style="1" bestFit="1" customWidth="1"/>
    <col min="7945" max="7945" width="15" style="1" bestFit="1" customWidth="1"/>
    <col min="7946" max="7946" width="11.6640625" style="1" bestFit="1" customWidth="1"/>
    <col min="7947" max="7951" width="14.44140625" style="1" bestFit="1" customWidth="1"/>
    <col min="7952" max="7955" width="0" style="1" hidden="1" customWidth="1"/>
    <col min="7956" max="7956" width="17" style="1" bestFit="1" customWidth="1"/>
    <col min="7957" max="7960" width="0" style="1" hidden="1" customWidth="1"/>
    <col min="7961" max="7961" width="17" style="1" bestFit="1" customWidth="1"/>
    <col min="7962" max="7962" width="17.6640625" style="1" bestFit="1" customWidth="1"/>
    <col min="7963" max="8192" width="8.6640625" style="1"/>
    <col min="8193" max="8193" width="2.44140625" style="1" customWidth="1"/>
    <col min="8194" max="8194" width="11.33203125" style="1" customWidth="1"/>
    <col min="8195" max="8195" width="61.44140625" style="1" customWidth="1"/>
    <col min="8196" max="8196" width="15.44140625" style="1" bestFit="1" customWidth="1"/>
    <col min="8197" max="8197" width="17" style="1" customWidth="1"/>
    <col min="8198" max="8198" width="17" style="1" bestFit="1" customWidth="1"/>
    <col min="8199" max="8199" width="17.6640625" style="1" bestFit="1" customWidth="1"/>
    <col min="8200" max="8200" width="17.44140625" style="1" bestFit="1" customWidth="1"/>
    <col min="8201" max="8201" width="15" style="1" bestFit="1" customWidth="1"/>
    <col min="8202" max="8202" width="11.6640625" style="1" bestFit="1" customWidth="1"/>
    <col min="8203" max="8207" width="14.44140625" style="1" bestFit="1" customWidth="1"/>
    <col min="8208" max="8211" width="0" style="1" hidden="1" customWidth="1"/>
    <col min="8212" max="8212" width="17" style="1" bestFit="1" customWidth="1"/>
    <col min="8213" max="8216" width="0" style="1" hidden="1" customWidth="1"/>
    <col min="8217" max="8217" width="17" style="1" bestFit="1" customWidth="1"/>
    <col min="8218" max="8218" width="17.6640625" style="1" bestFit="1" customWidth="1"/>
    <col min="8219" max="8448" width="8.6640625" style="1"/>
    <col min="8449" max="8449" width="2.44140625" style="1" customWidth="1"/>
    <col min="8450" max="8450" width="11.33203125" style="1" customWidth="1"/>
    <col min="8451" max="8451" width="61.44140625" style="1" customWidth="1"/>
    <col min="8452" max="8452" width="15.44140625" style="1" bestFit="1" customWidth="1"/>
    <col min="8453" max="8453" width="17" style="1" customWidth="1"/>
    <col min="8454" max="8454" width="17" style="1" bestFit="1" customWidth="1"/>
    <col min="8455" max="8455" width="17.6640625" style="1" bestFit="1" customWidth="1"/>
    <col min="8456" max="8456" width="17.44140625" style="1" bestFit="1" customWidth="1"/>
    <col min="8457" max="8457" width="15" style="1" bestFit="1" customWidth="1"/>
    <col min="8458" max="8458" width="11.6640625" style="1" bestFit="1" customWidth="1"/>
    <col min="8459" max="8463" width="14.44140625" style="1" bestFit="1" customWidth="1"/>
    <col min="8464" max="8467" width="0" style="1" hidden="1" customWidth="1"/>
    <col min="8468" max="8468" width="17" style="1" bestFit="1" customWidth="1"/>
    <col min="8469" max="8472" width="0" style="1" hidden="1" customWidth="1"/>
    <col min="8473" max="8473" width="17" style="1" bestFit="1" customWidth="1"/>
    <col min="8474" max="8474" width="17.6640625" style="1" bestFit="1" customWidth="1"/>
    <col min="8475" max="8704" width="8.6640625" style="1"/>
    <col min="8705" max="8705" width="2.44140625" style="1" customWidth="1"/>
    <col min="8706" max="8706" width="11.33203125" style="1" customWidth="1"/>
    <col min="8707" max="8707" width="61.44140625" style="1" customWidth="1"/>
    <col min="8708" max="8708" width="15.44140625" style="1" bestFit="1" customWidth="1"/>
    <col min="8709" max="8709" width="17" style="1" customWidth="1"/>
    <col min="8710" max="8710" width="17" style="1" bestFit="1" customWidth="1"/>
    <col min="8711" max="8711" width="17.6640625" style="1" bestFit="1" customWidth="1"/>
    <col min="8712" max="8712" width="17.44140625" style="1" bestFit="1" customWidth="1"/>
    <col min="8713" max="8713" width="15" style="1" bestFit="1" customWidth="1"/>
    <col min="8714" max="8714" width="11.6640625" style="1" bestFit="1" customWidth="1"/>
    <col min="8715" max="8719" width="14.44140625" style="1" bestFit="1" customWidth="1"/>
    <col min="8720" max="8723" width="0" style="1" hidden="1" customWidth="1"/>
    <col min="8724" max="8724" width="17" style="1" bestFit="1" customWidth="1"/>
    <col min="8725" max="8728" width="0" style="1" hidden="1" customWidth="1"/>
    <col min="8729" max="8729" width="17" style="1" bestFit="1" customWidth="1"/>
    <col min="8730" max="8730" width="17.6640625" style="1" bestFit="1" customWidth="1"/>
    <col min="8731" max="8960" width="8.6640625" style="1"/>
    <col min="8961" max="8961" width="2.44140625" style="1" customWidth="1"/>
    <col min="8962" max="8962" width="11.33203125" style="1" customWidth="1"/>
    <col min="8963" max="8963" width="61.44140625" style="1" customWidth="1"/>
    <col min="8964" max="8964" width="15.44140625" style="1" bestFit="1" customWidth="1"/>
    <col min="8965" max="8965" width="17" style="1" customWidth="1"/>
    <col min="8966" max="8966" width="17" style="1" bestFit="1" customWidth="1"/>
    <col min="8967" max="8967" width="17.6640625" style="1" bestFit="1" customWidth="1"/>
    <col min="8968" max="8968" width="17.44140625" style="1" bestFit="1" customWidth="1"/>
    <col min="8969" max="8969" width="15" style="1" bestFit="1" customWidth="1"/>
    <col min="8970" max="8970" width="11.6640625" style="1" bestFit="1" customWidth="1"/>
    <col min="8971" max="8975" width="14.44140625" style="1" bestFit="1" customWidth="1"/>
    <col min="8976" max="8979" width="0" style="1" hidden="1" customWidth="1"/>
    <col min="8980" max="8980" width="17" style="1" bestFit="1" customWidth="1"/>
    <col min="8981" max="8984" width="0" style="1" hidden="1" customWidth="1"/>
    <col min="8985" max="8985" width="17" style="1" bestFit="1" customWidth="1"/>
    <col min="8986" max="8986" width="17.6640625" style="1" bestFit="1" customWidth="1"/>
    <col min="8987" max="9216" width="8.6640625" style="1"/>
    <col min="9217" max="9217" width="2.44140625" style="1" customWidth="1"/>
    <col min="9218" max="9218" width="11.33203125" style="1" customWidth="1"/>
    <col min="9219" max="9219" width="61.44140625" style="1" customWidth="1"/>
    <col min="9220" max="9220" width="15.44140625" style="1" bestFit="1" customWidth="1"/>
    <col min="9221" max="9221" width="17" style="1" customWidth="1"/>
    <col min="9222" max="9222" width="17" style="1" bestFit="1" customWidth="1"/>
    <col min="9223" max="9223" width="17.6640625" style="1" bestFit="1" customWidth="1"/>
    <col min="9224" max="9224" width="17.44140625" style="1" bestFit="1" customWidth="1"/>
    <col min="9225" max="9225" width="15" style="1" bestFit="1" customWidth="1"/>
    <col min="9226" max="9226" width="11.6640625" style="1" bestFit="1" customWidth="1"/>
    <col min="9227" max="9231" width="14.44140625" style="1" bestFit="1" customWidth="1"/>
    <col min="9232" max="9235" width="0" style="1" hidden="1" customWidth="1"/>
    <col min="9236" max="9236" width="17" style="1" bestFit="1" customWidth="1"/>
    <col min="9237" max="9240" width="0" style="1" hidden="1" customWidth="1"/>
    <col min="9241" max="9241" width="17" style="1" bestFit="1" customWidth="1"/>
    <col min="9242" max="9242" width="17.6640625" style="1" bestFit="1" customWidth="1"/>
    <col min="9243" max="9472" width="8.6640625" style="1"/>
    <col min="9473" max="9473" width="2.44140625" style="1" customWidth="1"/>
    <col min="9474" max="9474" width="11.33203125" style="1" customWidth="1"/>
    <col min="9475" max="9475" width="61.44140625" style="1" customWidth="1"/>
    <col min="9476" max="9476" width="15.44140625" style="1" bestFit="1" customWidth="1"/>
    <col min="9477" max="9477" width="17" style="1" customWidth="1"/>
    <col min="9478" max="9478" width="17" style="1" bestFit="1" customWidth="1"/>
    <col min="9479" max="9479" width="17.6640625" style="1" bestFit="1" customWidth="1"/>
    <col min="9480" max="9480" width="17.44140625" style="1" bestFit="1" customWidth="1"/>
    <col min="9481" max="9481" width="15" style="1" bestFit="1" customWidth="1"/>
    <col min="9482" max="9482" width="11.6640625" style="1" bestFit="1" customWidth="1"/>
    <col min="9483" max="9487" width="14.44140625" style="1" bestFit="1" customWidth="1"/>
    <col min="9488" max="9491" width="0" style="1" hidden="1" customWidth="1"/>
    <col min="9492" max="9492" width="17" style="1" bestFit="1" customWidth="1"/>
    <col min="9493" max="9496" width="0" style="1" hidden="1" customWidth="1"/>
    <col min="9497" max="9497" width="17" style="1" bestFit="1" customWidth="1"/>
    <col min="9498" max="9498" width="17.6640625" style="1" bestFit="1" customWidth="1"/>
    <col min="9499" max="9728" width="8.6640625" style="1"/>
    <col min="9729" max="9729" width="2.44140625" style="1" customWidth="1"/>
    <col min="9730" max="9730" width="11.33203125" style="1" customWidth="1"/>
    <col min="9731" max="9731" width="61.44140625" style="1" customWidth="1"/>
    <col min="9732" max="9732" width="15.44140625" style="1" bestFit="1" customWidth="1"/>
    <col min="9733" max="9733" width="17" style="1" customWidth="1"/>
    <col min="9734" max="9734" width="17" style="1" bestFit="1" customWidth="1"/>
    <col min="9735" max="9735" width="17.6640625" style="1" bestFit="1" customWidth="1"/>
    <col min="9736" max="9736" width="17.44140625" style="1" bestFit="1" customWidth="1"/>
    <col min="9737" max="9737" width="15" style="1" bestFit="1" customWidth="1"/>
    <col min="9738" max="9738" width="11.6640625" style="1" bestFit="1" customWidth="1"/>
    <col min="9739" max="9743" width="14.44140625" style="1" bestFit="1" customWidth="1"/>
    <col min="9744" max="9747" width="0" style="1" hidden="1" customWidth="1"/>
    <col min="9748" max="9748" width="17" style="1" bestFit="1" customWidth="1"/>
    <col min="9749" max="9752" width="0" style="1" hidden="1" customWidth="1"/>
    <col min="9753" max="9753" width="17" style="1" bestFit="1" customWidth="1"/>
    <col min="9754" max="9754" width="17.6640625" style="1" bestFit="1" customWidth="1"/>
    <col min="9755" max="9984" width="8.6640625" style="1"/>
    <col min="9985" max="9985" width="2.44140625" style="1" customWidth="1"/>
    <col min="9986" max="9986" width="11.33203125" style="1" customWidth="1"/>
    <col min="9987" max="9987" width="61.44140625" style="1" customWidth="1"/>
    <col min="9988" max="9988" width="15.44140625" style="1" bestFit="1" customWidth="1"/>
    <col min="9989" max="9989" width="17" style="1" customWidth="1"/>
    <col min="9990" max="9990" width="17" style="1" bestFit="1" customWidth="1"/>
    <col min="9991" max="9991" width="17.6640625" style="1" bestFit="1" customWidth="1"/>
    <col min="9992" max="9992" width="17.44140625" style="1" bestFit="1" customWidth="1"/>
    <col min="9993" max="9993" width="15" style="1" bestFit="1" customWidth="1"/>
    <col min="9994" max="9994" width="11.6640625" style="1" bestFit="1" customWidth="1"/>
    <col min="9995" max="9999" width="14.44140625" style="1" bestFit="1" customWidth="1"/>
    <col min="10000" max="10003" width="0" style="1" hidden="1" customWidth="1"/>
    <col min="10004" max="10004" width="17" style="1" bestFit="1" customWidth="1"/>
    <col min="10005" max="10008" width="0" style="1" hidden="1" customWidth="1"/>
    <col min="10009" max="10009" width="17" style="1" bestFit="1" customWidth="1"/>
    <col min="10010" max="10010" width="17.6640625" style="1" bestFit="1" customWidth="1"/>
    <col min="10011" max="10240" width="8.6640625" style="1"/>
    <col min="10241" max="10241" width="2.44140625" style="1" customWidth="1"/>
    <col min="10242" max="10242" width="11.33203125" style="1" customWidth="1"/>
    <col min="10243" max="10243" width="61.44140625" style="1" customWidth="1"/>
    <col min="10244" max="10244" width="15.44140625" style="1" bestFit="1" customWidth="1"/>
    <col min="10245" max="10245" width="17" style="1" customWidth="1"/>
    <col min="10246" max="10246" width="17" style="1" bestFit="1" customWidth="1"/>
    <col min="10247" max="10247" width="17.6640625" style="1" bestFit="1" customWidth="1"/>
    <col min="10248" max="10248" width="17.44140625" style="1" bestFit="1" customWidth="1"/>
    <col min="10249" max="10249" width="15" style="1" bestFit="1" customWidth="1"/>
    <col min="10250" max="10250" width="11.6640625" style="1" bestFit="1" customWidth="1"/>
    <col min="10251" max="10255" width="14.44140625" style="1" bestFit="1" customWidth="1"/>
    <col min="10256" max="10259" width="0" style="1" hidden="1" customWidth="1"/>
    <col min="10260" max="10260" width="17" style="1" bestFit="1" customWidth="1"/>
    <col min="10261" max="10264" width="0" style="1" hidden="1" customWidth="1"/>
    <col min="10265" max="10265" width="17" style="1" bestFit="1" customWidth="1"/>
    <col min="10266" max="10266" width="17.6640625" style="1" bestFit="1" customWidth="1"/>
    <col min="10267" max="10496" width="8.6640625" style="1"/>
    <col min="10497" max="10497" width="2.44140625" style="1" customWidth="1"/>
    <col min="10498" max="10498" width="11.33203125" style="1" customWidth="1"/>
    <col min="10499" max="10499" width="61.44140625" style="1" customWidth="1"/>
    <col min="10500" max="10500" width="15.44140625" style="1" bestFit="1" customWidth="1"/>
    <col min="10501" max="10501" width="17" style="1" customWidth="1"/>
    <col min="10502" max="10502" width="17" style="1" bestFit="1" customWidth="1"/>
    <col min="10503" max="10503" width="17.6640625" style="1" bestFit="1" customWidth="1"/>
    <col min="10504" max="10504" width="17.44140625" style="1" bestFit="1" customWidth="1"/>
    <col min="10505" max="10505" width="15" style="1" bestFit="1" customWidth="1"/>
    <col min="10506" max="10506" width="11.6640625" style="1" bestFit="1" customWidth="1"/>
    <col min="10507" max="10511" width="14.44140625" style="1" bestFit="1" customWidth="1"/>
    <col min="10512" max="10515" width="0" style="1" hidden="1" customWidth="1"/>
    <col min="10516" max="10516" width="17" style="1" bestFit="1" customWidth="1"/>
    <col min="10517" max="10520" width="0" style="1" hidden="1" customWidth="1"/>
    <col min="10521" max="10521" width="17" style="1" bestFit="1" customWidth="1"/>
    <col min="10522" max="10522" width="17.6640625" style="1" bestFit="1" customWidth="1"/>
    <col min="10523" max="10752" width="8.6640625" style="1"/>
    <col min="10753" max="10753" width="2.44140625" style="1" customWidth="1"/>
    <col min="10754" max="10754" width="11.33203125" style="1" customWidth="1"/>
    <col min="10755" max="10755" width="61.44140625" style="1" customWidth="1"/>
    <col min="10756" max="10756" width="15.44140625" style="1" bestFit="1" customWidth="1"/>
    <col min="10757" max="10757" width="17" style="1" customWidth="1"/>
    <col min="10758" max="10758" width="17" style="1" bestFit="1" customWidth="1"/>
    <col min="10759" max="10759" width="17.6640625" style="1" bestFit="1" customWidth="1"/>
    <col min="10760" max="10760" width="17.44140625" style="1" bestFit="1" customWidth="1"/>
    <col min="10761" max="10761" width="15" style="1" bestFit="1" customWidth="1"/>
    <col min="10762" max="10762" width="11.6640625" style="1" bestFit="1" customWidth="1"/>
    <col min="10763" max="10767" width="14.44140625" style="1" bestFit="1" customWidth="1"/>
    <col min="10768" max="10771" width="0" style="1" hidden="1" customWidth="1"/>
    <col min="10772" max="10772" width="17" style="1" bestFit="1" customWidth="1"/>
    <col min="10773" max="10776" width="0" style="1" hidden="1" customWidth="1"/>
    <col min="10777" max="10777" width="17" style="1" bestFit="1" customWidth="1"/>
    <col min="10778" max="10778" width="17.6640625" style="1" bestFit="1" customWidth="1"/>
    <col min="10779" max="11008" width="8.6640625" style="1"/>
    <col min="11009" max="11009" width="2.44140625" style="1" customWidth="1"/>
    <col min="11010" max="11010" width="11.33203125" style="1" customWidth="1"/>
    <col min="11011" max="11011" width="61.44140625" style="1" customWidth="1"/>
    <col min="11012" max="11012" width="15.44140625" style="1" bestFit="1" customWidth="1"/>
    <col min="11013" max="11013" width="17" style="1" customWidth="1"/>
    <col min="11014" max="11014" width="17" style="1" bestFit="1" customWidth="1"/>
    <col min="11015" max="11015" width="17.6640625" style="1" bestFit="1" customWidth="1"/>
    <col min="11016" max="11016" width="17.44140625" style="1" bestFit="1" customWidth="1"/>
    <col min="11017" max="11017" width="15" style="1" bestFit="1" customWidth="1"/>
    <col min="11018" max="11018" width="11.6640625" style="1" bestFit="1" customWidth="1"/>
    <col min="11019" max="11023" width="14.44140625" style="1" bestFit="1" customWidth="1"/>
    <col min="11024" max="11027" width="0" style="1" hidden="1" customWidth="1"/>
    <col min="11028" max="11028" width="17" style="1" bestFit="1" customWidth="1"/>
    <col min="11029" max="11032" width="0" style="1" hidden="1" customWidth="1"/>
    <col min="11033" max="11033" width="17" style="1" bestFit="1" customWidth="1"/>
    <col min="11034" max="11034" width="17.6640625" style="1" bestFit="1" customWidth="1"/>
    <col min="11035" max="11264" width="8.6640625" style="1"/>
    <col min="11265" max="11265" width="2.44140625" style="1" customWidth="1"/>
    <col min="11266" max="11266" width="11.33203125" style="1" customWidth="1"/>
    <col min="11267" max="11267" width="61.44140625" style="1" customWidth="1"/>
    <col min="11268" max="11268" width="15.44140625" style="1" bestFit="1" customWidth="1"/>
    <col min="11269" max="11269" width="17" style="1" customWidth="1"/>
    <col min="11270" max="11270" width="17" style="1" bestFit="1" customWidth="1"/>
    <col min="11271" max="11271" width="17.6640625" style="1" bestFit="1" customWidth="1"/>
    <col min="11272" max="11272" width="17.44140625" style="1" bestFit="1" customWidth="1"/>
    <col min="11273" max="11273" width="15" style="1" bestFit="1" customWidth="1"/>
    <col min="11274" max="11274" width="11.6640625" style="1" bestFit="1" customWidth="1"/>
    <col min="11275" max="11279" width="14.44140625" style="1" bestFit="1" customWidth="1"/>
    <col min="11280" max="11283" width="0" style="1" hidden="1" customWidth="1"/>
    <col min="11284" max="11284" width="17" style="1" bestFit="1" customWidth="1"/>
    <col min="11285" max="11288" width="0" style="1" hidden="1" customWidth="1"/>
    <col min="11289" max="11289" width="17" style="1" bestFit="1" customWidth="1"/>
    <col min="11290" max="11290" width="17.6640625" style="1" bestFit="1" customWidth="1"/>
    <col min="11291" max="11520" width="8.6640625" style="1"/>
    <col min="11521" max="11521" width="2.44140625" style="1" customWidth="1"/>
    <col min="11522" max="11522" width="11.33203125" style="1" customWidth="1"/>
    <col min="11523" max="11523" width="61.44140625" style="1" customWidth="1"/>
    <col min="11524" max="11524" width="15.44140625" style="1" bestFit="1" customWidth="1"/>
    <col min="11525" max="11525" width="17" style="1" customWidth="1"/>
    <col min="11526" max="11526" width="17" style="1" bestFit="1" customWidth="1"/>
    <col min="11527" max="11527" width="17.6640625" style="1" bestFit="1" customWidth="1"/>
    <col min="11528" max="11528" width="17.44140625" style="1" bestFit="1" customWidth="1"/>
    <col min="11529" max="11529" width="15" style="1" bestFit="1" customWidth="1"/>
    <col min="11530" max="11530" width="11.6640625" style="1" bestFit="1" customWidth="1"/>
    <col min="11531" max="11535" width="14.44140625" style="1" bestFit="1" customWidth="1"/>
    <col min="11536" max="11539" width="0" style="1" hidden="1" customWidth="1"/>
    <col min="11540" max="11540" width="17" style="1" bestFit="1" customWidth="1"/>
    <col min="11541" max="11544" width="0" style="1" hidden="1" customWidth="1"/>
    <col min="11545" max="11545" width="17" style="1" bestFit="1" customWidth="1"/>
    <col min="11546" max="11546" width="17.6640625" style="1" bestFit="1" customWidth="1"/>
    <col min="11547" max="11776" width="8.6640625" style="1"/>
    <col min="11777" max="11777" width="2.44140625" style="1" customWidth="1"/>
    <col min="11778" max="11778" width="11.33203125" style="1" customWidth="1"/>
    <col min="11779" max="11779" width="61.44140625" style="1" customWidth="1"/>
    <col min="11780" max="11780" width="15.44140625" style="1" bestFit="1" customWidth="1"/>
    <col min="11781" max="11781" width="17" style="1" customWidth="1"/>
    <col min="11782" max="11782" width="17" style="1" bestFit="1" customWidth="1"/>
    <col min="11783" max="11783" width="17.6640625" style="1" bestFit="1" customWidth="1"/>
    <col min="11784" max="11784" width="17.44140625" style="1" bestFit="1" customWidth="1"/>
    <col min="11785" max="11785" width="15" style="1" bestFit="1" customWidth="1"/>
    <col min="11786" max="11786" width="11.6640625" style="1" bestFit="1" customWidth="1"/>
    <col min="11787" max="11791" width="14.44140625" style="1" bestFit="1" customWidth="1"/>
    <col min="11792" max="11795" width="0" style="1" hidden="1" customWidth="1"/>
    <col min="11796" max="11796" width="17" style="1" bestFit="1" customWidth="1"/>
    <col min="11797" max="11800" width="0" style="1" hidden="1" customWidth="1"/>
    <col min="11801" max="11801" width="17" style="1" bestFit="1" customWidth="1"/>
    <col min="11802" max="11802" width="17.6640625" style="1" bestFit="1" customWidth="1"/>
    <col min="11803" max="12032" width="8.6640625" style="1"/>
    <col min="12033" max="12033" width="2.44140625" style="1" customWidth="1"/>
    <col min="12034" max="12034" width="11.33203125" style="1" customWidth="1"/>
    <col min="12035" max="12035" width="61.44140625" style="1" customWidth="1"/>
    <col min="12036" max="12036" width="15.44140625" style="1" bestFit="1" customWidth="1"/>
    <col min="12037" max="12037" width="17" style="1" customWidth="1"/>
    <col min="12038" max="12038" width="17" style="1" bestFit="1" customWidth="1"/>
    <col min="12039" max="12039" width="17.6640625" style="1" bestFit="1" customWidth="1"/>
    <col min="12040" max="12040" width="17.44140625" style="1" bestFit="1" customWidth="1"/>
    <col min="12041" max="12041" width="15" style="1" bestFit="1" customWidth="1"/>
    <col min="12042" max="12042" width="11.6640625" style="1" bestFit="1" customWidth="1"/>
    <col min="12043" max="12047" width="14.44140625" style="1" bestFit="1" customWidth="1"/>
    <col min="12048" max="12051" width="0" style="1" hidden="1" customWidth="1"/>
    <col min="12052" max="12052" width="17" style="1" bestFit="1" customWidth="1"/>
    <col min="12053" max="12056" width="0" style="1" hidden="1" customWidth="1"/>
    <col min="12057" max="12057" width="17" style="1" bestFit="1" customWidth="1"/>
    <col min="12058" max="12058" width="17.6640625" style="1" bestFit="1" customWidth="1"/>
    <col min="12059" max="12288" width="8.6640625" style="1"/>
    <col min="12289" max="12289" width="2.44140625" style="1" customWidth="1"/>
    <col min="12290" max="12290" width="11.33203125" style="1" customWidth="1"/>
    <col min="12291" max="12291" width="61.44140625" style="1" customWidth="1"/>
    <col min="12292" max="12292" width="15.44140625" style="1" bestFit="1" customWidth="1"/>
    <col min="12293" max="12293" width="17" style="1" customWidth="1"/>
    <col min="12294" max="12294" width="17" style="1" bestFit="1" customWidth="1"/>
    <col min="12295" max="12295" width="17.6640625" style="1" bestFit="1" customWidth="1"/>
    <col min="12296" max="12296" width="17.44140625" style="1" bestFit="1" customWidth="1"/>
    <col min="12297" max="12297" width="15" style="1" bestFit="1" customWidth="1"/>
    <col min="12298" max="12298" width="11.6640625" style="1" bestFit="1" customWidth="1"/>
    <col min="12299" max="12303" width="14.44140625" style="1" bestFit="1" customWidth="1"/>
    <col min="12304" max="12307" width="0" style="1" hidden="1" customWidth="1"/>
    <col min="12308" max="12308" width="17" style="1" bestFit="1" customWidth="1"/>
    <col min="12309" max="12312" width="0" style="1" hidden="1" customWidth="1"/>
    <col min="12313" max="12313" width="17" style="1" bestFit="1" customWidth="1"/>
    <col min="12314" max="12314" width="17.6640625" style="1" bestFit="1" customWidth="1"/>
    <col min="12315" max="12544" width="8.6640625" style="1"/>
    <col min="12545" max="12545" width="2.44140625" style="1" customWidth="1"/>
    <col min="12546" max="12546" width="11.33203125" style="1" customWidth="1"/>
    <col min="12547" max="12547" width="61.44140625" style="1" customWidth="1"/>
    <col min="12548" max="12548" width="15.44140625" style="1" bestFit="1" customWidth="1"/>
    <col min="12549" max="12549" width="17" style="1" customWidth="1"/>
    <col min="12550" max="12550" width="17" style="1" bestFit="1" customWidth="1"/>
    <col min="12551" max="12551" width="17.6640625" style="1" bestFit="1" customWidth="1"/>
    <col min="12552" max="12552" width="17.44140625" style="1" bestFit="1" customWidth="1"/>
    <col min="12553" max="12553" width="15" style="1" bestFit="1" customWidth="1"/>
    <col min="12554" max="12554" width="11.6640625" style="1" bestFit="1" customWidth="1"/>
    <col min="12555" max="12559" width="14.44140625" style="1" bestFit="1" customWidth="1"/>
    <col min="12560" max="12563" width="0" style="1" hidden="1" customWidth="1"/>
    <col min="12564" max="12564" width="17" style="1" bestFit="1" customWidth="1"/>
    <col min="12565" max="12568" width="0" style="1" hidden="1" customWidth="1"/>
    <col min="12569" max="12569" width="17" style="1" bestFit="1" customWidth="1"/>
    <col min="12570" max="12570" width="17.6640625" style="1" bestFit="1" customWidth="1"/>
    <col min="12571" max="12800" width="8.6640625" style="1"/>
    <col min="12801" max="12801" width="2.44140625" style="1" customWidth="1"/>
    <col min="12802" max="12802" width="11.33203125" style="1" customWidth="1"/>
    <col min="12803" max="12803" width="61.44140625" style="1" customWidth="1"/>
    <col min="12804" max="12804" width="15.44140625" style="1" bestFit="1" customWidth="1"/>
    <col min="12805" max="12805" width="17" style="1" customWidth="1"/>
    <col min="12806" max="12806" width="17" style="1" bestFit="1" customWidth="1"/>
    <col min="12807" max="12807" width="17.6640625" style="1" bestFit="1" customWidth="1"/>
    <col min="12808" max="12808" width="17.44140625" style="1" bestFit="1" customWidth="1"/>
    <col min="12809" max="12809" width="15" style="1" bestFit="1" customWidth="1"/>
    <col min="12810" max="12810" width="11.6640625" style="1" bestFit="1" customWidth="1"/>
    <col min="12811" max="12815" width="14.44140625" style="1" bestFit="1" customWidth="1"/>
    <col min="12816" max="12819" width="0" style="1" hidden="1" customWidth="1"/>
    <col min="12820" max="12820" width="17" style="1" bestFit="1" customWidth="1"/>
    <col min="12821" max="12824" width="0" style="1" hidden="1" customWidth="1"/>
    <col min="12825" max="12825" width="17" style="1" bestFit="1" customWidth="1"/>
    <col min="12826" max="12826" width="17.6640625" style="1" bestFit="1" customWidth="1"/>
    <col min="12827" max="13056" width="8.6640625" style="1"/>
    <col min="13057" max="13057" width="2.44140625" style="1" customWidth="1"/>
    <col min="13058" max="13058" width="11.33203125" style="1" customWidth="1"/>
    <col min="13059" max="13059" width="61.44140625" style="1" customWidth="1"/>
    <col min="13060" max="13060" width="15.44140625" style="1" bestFit="1" customWidth="1"/>
    <col min="13061" max="13061" width="17" style="1" customWidth="1"/>
    <col min="13062" max="13062" width="17" style="1" bestFit="1" customWidth="1"/>
    <col min="13063" max="13063" width="17.6640625" style="1" bestFit="1" customWidth="1"/>
    <col min="13064" max="13064" width="17.44140625" style="1" bestFit="1" customWidth="1"/>
    <col min="13065" max="13065" width="15" style="1" bestFit="1" customWidth="1"/>
    <col min="13066" max="13066" width="11.6640625" style="1" bestFit="1" customWidth="1"/>
    <col min="13067" max="13071" width="14.44140625" style="1" bestFit="1" customWidth="1"/>
    <col min="13072" max="13075" width="0" style="1" hidden="1" customWidth="1"/>
    <col min="13076" max="13076" width="17" style="1" bestFit="1" customWidth="1"/>
    <col min="13077" max="13080" width="0" style="1" hidden="1" customWidth="1"/>
    <col min="13081" max="13081" width="17" style="1" bestFit="1" customWidth="1"/>
    <col min="13082" max="13082" width="17.6640625" style="1" bestFit="1" customWidth="1"/>
    <col min="13083" max="13312" width="8.6640625" style="1"/>
    <col min="13313" max="13313" width="2.44140625" style="1" customWidth="1"/>
    <col min="13314" max="13314" width="11.33203125" style="1" customWidth="1"/>
    <col min="13315" max="13315" width="61.44140625" style="1" customWidth="1"/>
    <col min="13316" max="13316" width="15.44140625" style="1" bestFit="1" customWidth="1"/>
    <col min="13317" max="13317" width="17" style="1" customWidth="1"/>
    <col min="13318" max="13318" width="17" style="1" bestFit="1" customWidth="1"/>
    <col min="13319" max="13319" width="17.6640625" style="1" bestFit="1" customWidth="1"/>
    <col min="13320" max="13320" width="17.44140625" style="1" bestFit="1" customWidth="1"/>
    <col min="13321" max="13321" width="15" style="1" bestFit="1" customWidth="1"/>
    <col min="13322" max="13322" width="11.6640625" style="1" bestFit="1" customWidth="1"/>
    <col min="13323" max="13327" width="14.44140625" style="1" bestFit="1" customWidth="1"/>
    <col min="13328" max="13331" width="0" style="1" hidden="1" customWidth="1"/>
    <col min="13332" max="13332" width="17" style="1" bestFit="1" customWidth="1"/>
    <col min="13333" max="13336" width="0" style="1" hidden="1" customWidth="1"/>
    <col min="13337" max="13337" width="17" style="1" bestFit="1" customWidth="1"/>
    <col min="13338" max="13338" width="17.6640625" style="1" bestFit="1" customWidth="1"/>
    <col min="13339" max="13568" width="8.6640625" style="1"/>
    <col min="13569" max="13569" width="2.44140625" style="1" customWidth="1"/>
    <col min="13570" max="13570" width="11.33203125" style="1" customWidth="1"/>
    <col min="13571" max="13571" width="61.44140625" style="1" customWidth="1"/>
    <col min="13572" max="13572" width="15.44140625" style="1" bestFit="1" customWidth="1"/>
    <col min="13573" max="13573" width="17" style="1" customWidth="1"/>
    <col min="13574" max="13574" width="17" style="1" bestFit="1" customWidth="1"/>
    <col min="13575" max="13575" width="17.6640625" style="1" bestFit="1" customWidth="1"/>
    <col min="13576" max="13576" width="17.44140625" style="1" bestFit="1" customWidth="1"/>
    <col min="13577" max="13577" width="15" style="1" bestFit="1" customWidth="1"/>
    <col min="13578" max="13578" width="11.6640625" style="1" bestFit="1" customWidth="1"/>
    <col min="13579" max="13583" width="14.44140625" style="1" bestFit="1" customWidth="1"/>
    <col min="13584" max="13587" width="0" style="1" hidden="1" customWidth="1"/>
    <col min="13588" max="13588" width="17" style="1" bestFit="1" customWidth="1"/>
    <col min="13589" max="13592" width="0" style="1" hidden="1" customWidth="1"/>
    <col min="13593" max="13593" width="17" style="1" bestFit="1" customWidth="1"/>
    <col min="13594" max="13594" width="17.6640625" style="1" bestFit="1" customWidth="1"/>
    <col min="13595" max="13824" width="8.6640625" style="1"/>
    <col min="13825" max="13825" width="2.44140625" style="1" customWidth="1"/>
    <col min="13826" max="13826" width="11.33203125" style="1" customWidth="1"/>
    <col min="13827" max="13827" width="61.44140625" style="1" customWidth="1"/>
    <col min="13828" max="13828" width="15.44140625" style="1" bestFit="1" customWidth="1"/>
    <col min="13829" max="13829" width="17" style="1" customWidth="1"/>
    <col min="13830" max="13830" width="17" style="1" bestFit="1" customWidth="1"/>
    <col min="13831" max="13831" width="17.6640625" style="1" bestFit="1" customWidth="1"/>
    <col min="13832" max="13832" width="17.44140625" style="1" bestFit="1" customWidth="1"/>
    <col min="13833" max="13833" width="15" style="1" bestFit="1" customWidth="1"/>
    <col min="13834" max="13834" width="11.6640625" style="1" bestFit="1" customWidth="1"/>
    <col min="13835" max="13839" width="14.44140625" style="1" bestFit="1" customWidth="1"/>
    <col min="13840" max="13843" width="0" style="1" hidden="1" customWidth="1"/>
    <col min="13844" max="13844" width="17" style="1" bestFit="1" customWidth="1"/>
    <col min="13845" max="13848" width="0" style="1" hidden="1" customWidth="1"/>
    <col min="13849" max="13849" width="17" style="1" bestFit="1" customWidth="1"/>
    <col min="13850" max="13850" width="17.6640625" style="1" bestFit="1" customWidth="1"/>
    <col min="13851" max="14080" width="8.6640625" style="1"/>
    <col min="14081" max="14081" width="2.44140625" style="1" customWidth="1"/>
    <col min="14082" max="14082" width="11.33203125" style="1" customWidth="1"/>
    <col min="14083" max="14083" width="61.44140625" style="1" customWidth="1"/>
    <col min="14084" max="14084" width="15.44140625" style="1" bestFit="1" customWidth="1"/>
    <col min="14085" max="14085" width="17" style="1" customWidth="1"/>
    <col min="14086" max="14086" width="17" style="1" bestFit="1" customWidth="1"/>
    <col min="14087" max="14087" width="17.6640625" style="1" bestFit="1" customWidth="1"/>
    <col min="14088" max="14088" width="17.44140625" style="1" bestFit="1" customWidth="1"/>
    <col min="14089" max="14089" width="15" style="1" bestFit="1" customWidth="1"/>
    <col min="14090" max="14090" width="11.6640625" style="1" bestFit="1" customWidth="1"/>
    <col min="14091" max="14095" width="14.44140625" style="1" bestFit="1" customWidth="1"/>
    <col min="14096" max="14099" width="0" style="1" hidden="1" customWidth="1"/>
    <col min="14100" max="14100" width="17" style="1" bestFit="1" customWidth="1"/>
    <col min="14101" max="14104" width="0" style="1" hidden="1" customWidth="1"/>
    <col min="14105" max="14105" width="17" style="1" bestFit="1" customWidth="1"/>
    <col min="14106" max="14106" width="17.6640625" style="1" bestFit="1" customWidth="1"/>
    <col min="14107" max="14336" width="8.6640625" style="1"/>
    <col min="14337" max="14337" width="2.44140625" style="1" customWidth="1"/>
    <col min="14338" max="14338" width="11.33203125" style="1" customWidth="1"/>
    <col min="14339" max="14339" width="61.44140625" style="1" customWidth="1"/>
    <col min="14340" max="14340" width="15.44140625" style="1" bestFit="1" customWidth="1"/>
    <col min="14341" max="14341" width="17" style="1" customWidth="1"/>
    <col min="14342" max="14342" width="17" style="1" bestFit="1" customWidth="1"/>
    <col min="14343" max="14343" width="17.6640625" style="1" bestFit="1" customWidth="1"/>
    <col min="14344" max="14344" width="17.44140625" style="1" bestFit="1" customWidth="1"/>
    <col min="14345" max="14345" width="15" style="1" bestFit="1" customWidth="1"/>
    <col min="14346" max="14346" width="11.6640625" style="1" bestFit="1" customWidth="1"/>
    <col min="14347" max="14351" width="14.44140625" style="1" bestFit="1" customWidth="1"/>
    <col min="14352" max="14355" width="0" style="1" hidden="1" customWidth="1"/>
    <col min="14356" max="14356" width="17" style="1" bestFit="1" customWidth="1"/>
    <col min="14357" max="14360" width="0" style="1" hidden="1" customWidth="1"/>
    <col min="14361" max="14361" width="17" style="1" bestFit="1" customWidth="1"/>
    <col min="14362" max="14362" width="17.6640625" style="1" bestFit="1" customWidth="1"/>
    <col min="14363" max="14592" width="8.6640625" style="1"/>
    <col min="14593" max="14593" width="2.44140625" style="1" customWidth="1"/>
    <col min="14594" max="14594" width="11.33203125" style="1" customWidth="1"/>
    <col min="14595" max="14595" width="61.44140625" style="1" customWidth="1"/>
    <col min="14596" max="14596" width="15.44140625" style="1" bestFit="1" customWidth="1"/>
    <col min="14597" max="14597" width="17" style="1" customWidth="1"/>
    <col min="14598" max="14598" width="17" style="1" bestFit="1" customWidth="1"/>
    <col min="14599" max="14599" width="17.6640625" style="1" bestFit="1" customWidth="1"/>
    <col min="14600" max="14600" width="17.44140625" style="1" bestFit="1" customWidth="1"/>
    <col min="14601" max="14601" width="15" style="1" bestFit="1" customWidth="1"/>
    <col min="14602" max="14602" width="11.6640625" style="1" bestFit="1" customWidth="1"/>
    <col min="14603" max="14607" width="14.44140625" style="1" bestFit="1" customWidth="1"/>
    <col min="14608" max="14611" width="0" style="1" hidden="1" customWidth="1"/>
    <col min="14612" max="14612" width="17" style="1" bestFit="1" customWidth="1"/>
    <col min="14613" max="14616" width="0" style="1" hidden="1" customWidth="1"/>
    <col min="14617" max="14617" width="17" style="1" bestFit="1" customWidth="1"/>
    <col min="14618" max="14618" width="17.6640625" style="1" bestFit="1" customWidth="1"/>
    <col min="14619" max="14848" width="8.6640625" style="1"/>
    <col min="14849" max="14849" width="2.44140625" style="1" customWidth="1"/>
    <col min="14850" max="14850" width="11.33203125" style="1" customWidth="1"/>
    <col min="14851" max="14851" width="61.44140625" style="1" customWidth="1"/>
    <col min="14852" max="14852" width="15.44140625" style="1" bestFit="1" customWidth="1"/>
    <col min="14853" max="14853" width="17" style="1" customWidth="1"/>
    <col min="14854" max="14854" width="17" style="1" bestFit="1" customWidth="1"/>
    <col min="14855" max="14855" width="17.6640625" style="1" bestFit="1" customWidth="1"/>
    <col min="14856" max="14856" width="17.44140625" style="1" bestFit="1" customWidth="1"/>
    <col min="14857" max="14857" width="15" style="1" bestFit="1" customWidth="1"/>
    <col min="14858" max="14858" width="11.6640625" style="1" bestFit="1" customWidth="1"/>
    <col min="14859" max="14863" width="14.44140625" style="1" bestFit="1" customWidth="1"/>
    <col min="14864" max="14867" width="0" style="1" hidden="1" customWidth="1"/>
    <col min="14868" max="14868" width="17" style="1" bestFit="1" customWidth="1"/>
    <col min="14869" max="14872" width="0" style="1" hidden="1" customWidth="1"/>
    <col min="14873" max="14873" width="17" style="1" bestFit="1" customWidth="1"/>
    <col min="14874" max="14874" width="17.6640625" style="1" bestFit="1" customWidth="1"/>
    <col min="14875" max="15104" width="8.6640625" style="1"/>
    <col min="15105" max="15105" width="2.44140625" style="1" customWidth="1"/>
    <col min="15106" max="15106" width="11.33203125" style="1" customWidth="1"/>
    <col min="15107" max="15107" width="61.44140625" style="1" customWidth="1"/>
    <col min="15108" max="15108" width="15.44140625" style="1" bestFit="1" customWidth="1"/>
    <col min="15109" max="15109" width="17" style="1" customWidth="1"/>
    <col min="15110" max="15110" width="17" style="1" bestFit="1" customWidth="1"/>
    <col min="15111" max="15111" width="17.6640625" style="1" bestFit="1" customWidth="1"/>
    <col min="15112" max="15112" width="17.44140625" style="1" bestFit="1" customWidth="1"/>
    <col min="15113" max="15113" width="15" style="1" bestFit="1" customWidth="1"/>
    <col min="15114" max="15114" width="11.6640625" style="1" bestFit="1" customWidth="1"/>
    <col min="15115" max="15119" width="14.44140625" style="1" bestFit="1" customWidth="1"/>
    <col min="15120" max="15123" width="0" style="1" hidden="1" customWidth="1"/>
    <col min="15124" max="15124" width="17" style="1" bestFit="1" customWidth="1"/>
    <col min="15125" max="15128" width="0" style="1" hidden="1" customWidth="1"/>
    <col min="15129" max="15129" width="17" style="1" bestFit="1" customWidth="1"/>
    <col min="15130" max="15130" width="17.6640625" style="1" bestFit="1" customWidth="1"/>
    <col min="15131" max="15360" width="8.6640625" style="1"/>
    <col min="15361" max="15361" width="2.44140625" style="1" customWidth="1"/>
    <col min="15362" max="15362" width="11.33203125" style="1" customWidth="1"/>
    <col min="15363" max="15363" width="61.44140625" style="1" customWidth="1"/>
    <col min="15364" max="15364" width="15.44140625" style="1" bestFit="1" customWidth="1"/>
    <col min="15365" max="15365" width="17" style="1" customWidth="1"/>
    <col min="15366" max="15366" width="17" style="1" bestFit="1" customWidth="1"/>
    <col min="15367" max="15367" width="17.6640625" style="1" bestFit="1" customWidth="1"/>
    <col min="15368" max="15368" width="17.44140625" style="1" bestFit="1" customWidth="1"/>
    <col min="15369" max="15369" width="15" style="1" bestFit="1" customWidth="1"/>
    <col min="15370" max="15370" width="11.6640625" style="1" bestFit="1" customWidth="1"/>
    <col min="15371" max="15375" width="14.44140625" style="1" bestFit="1" customWidth="1"/>
    <col min="15376" max="15379" width="0" style="1" hidden="1" customWidth="1"/>
    <col min="15380" max="15380" width="17" style="1" bestFit="1" customWidth="1"/>
    <col min="15381" max="15384" width="0" style="1" hidden="1" customWidth="1"/>
    <col min="15385" max="15385" width="17" style="1" bestFit="1" customWidth="1"/>
    <col min="15386" max="15386" width="17.6640625" style="1" bestFit="1" customWidth="1"/>
    <col min="15387" max="15616" width="8.6640625" style="1"/>
    <col min="15617" max="15617" width="2.44140625" style="1" customWidth="1"/>
    <col min="15618" max="15618" width="11.33203125" style="1" customWidth="1"/>
    <col min="15619" max="15619" width="61.44140625" style="1" customWidth="1"/>
    <col min="15620" max="15620" width="15.44140625" style="1" bestFit="1" customWidth="1"/>
    <col min="15621" max="15621" width="17" style="1" customWidth="1"/>
    <col min="15622" max="15622" width="17" style="1" bestFit="1" customWidth="1"/>
    <col min="15623" max="15623" width="17.6640625" style="1" bestFit="1" customWidth="1"/>
    <col min="15624" max="15624" width="17.44140625" style="1" bestFit="1" customWidth="1"/>
    <col min="15625" max="15625" width="15" style="1" bestFit="1" customWidth="1"/>
    <col min="15626" max="15626" width="11.6640625" style="1" bestFit="1" customWidth="1"/>
    <col min="15627" max="15631" width="14.44140625" style="1" bestFit="1" customWidth="1"/>
    <col min="15632" max="15635" width="0" style="1" hidden="1" customWidth="1"/>
    <col min="15636" max="15636" width="17" style="1" bestFit="1" customWidth="1"/>
    <col min="15637" max="15640" width="0" style="1" hidden="1" customWidth="1"/>
    <col min="15641" max="15641" width="17" style="1" bestFit="1" customWidth="1"/>
    <col min="15642" max="15642" width="17.6640625" style="1" bestFit="1" customWidth="1"/>
    <col min="15643" max="15872" width="8.6640625" style="1"/>
    <col min="15873" max="15873" width="2.44140625" style="1" customWidth="1"/>
    <col min="15874" max="15874" width="11.33203125" style="1" customWidth="1"/>
    <col min="15875" max="15875" width="61.44140625" style="1" customWidth="1"/>
    <col min="15876" max="15876" width="15.44140625" style="1" bestFit="1" customWidth="1"/>
    <col min="15877" max="15877" width="17" style="1" customWidth="1"/>
    <col min="15878" max="15878" width="17" style="1" bestFit="1" customWidth="1"/>
    <col min="15879" max="15879" width="17.6640625" style="1" bestFit="1" customWidth="1"/>
    <col min="15880" max="15880" width="17.44140625" style="1" bestFit="1" customWidth="1"/>
    <col min="15881" max="15881" width="15" style="1" bestFit="1" customWidth="1"/>
    <col min="15882" max="15882" width="11.6640625" style="1" bestFit="1" customWidth="1"/>
    <col min="15883" max="15887" width="14.44140625" style="1" bestFit="1" customWidth="1"/>
    <col min="15888" max="15891" width="0" style="1" hidden="1" customWidth="1"/>
    <col min="15892" max="15892" width="17" style="1" bestFit="1" customWidth="1"/>
    <col min="15893" max="15896" width="0" style="1" hidden="1" customWidth="1"/>
    <col min="15897" max="15897" width="17" style="1" bestFit="1" customWidth="1"/>
    <col min="15898" max="15898" width="17.6640625" style="1" bestFit="1" customWidth="1"/>
    <col min="15899" max="16128" width="8.6640625" style="1"/>
    <col min="16129" max="16129" width="2.44140625" style="1" customWidth="1"/>
    <col min="16130" max="16130" width="11.33203125" style="1" customWidth="1"/>
    <col min="16131" max="16131" width="61.44140625" style="1" customWidth="1"/>
    <col min="16132" max="16132" width="15.44140625" style="1" bestFit="1" customWidth="1"/>
    <col min="16133" max="16133" width="17" style="1" customWidth="1"/>
    <col min="16134" max="16134" width="17" style="1" bestFit="1" customWidth="1"/>
    <col min="16135" max="16135" width="17.6640625" style="1" bestFit="1" customWidth="1"/>
    <col min="16136" max="16136" width="17.44140625" style="1" bestFit="1" customWidth="1"/>
    <col min="16137" max="16137" width="15" style="1" bestFit="1" customWidth="1"/>
    <col min="16138" max="16138" width="11.6640625" style="1" bestFit="1" customWidth="1"/>
    <col min="16139" max="16143" width="14.44140625" style="1" bestFit="1" customWidth="1"/>
    <col min="16144" max="16147" width="0" style="1" hidden="1" customWidth="1"/>
    <col min="16148" max="16148" width="17" style="1" bestFit="1" customWidth="1"/>
    <col min="16149" max="16152" width="0" style="1" hidden="1" customWidth="1"/>
    <col min="16153" max="16153" width="17" style="1" bestFit="1" customWidth="1"/>
    <col min="16154" max="16154" width="17.6640625" style="1" bestFit="1" customWidth="1"/>
    <col min="16155" max="16384" width="8.6640625" style="1"/>
  </cols>
  <sheetData>
    <row r="4" spans="2:26" ht="45" customHeight="1" x14ac:dyDescent="0.3">
      <c r="B4" s="48">
        <v>4.0999999999999996</v>
      </c>
      <c r="C4" s="65" t="s">
        <v>534</v>
      </c>
      <c r="D4" s="62" t="s">
        <v>26</v>
      </c>
      <c r="E4" s="62" t="s">
        <v>27</v>
      </c>
      <c r="F4" s="62" t="s">
        <v>28</v>
      </c>
      <c r="G4" s="62" t="s">
        <v>9</v>
      </c>
    </row>
    <row r="5" spans="2:26" ht="41.25" customHeight="1" x14ac:dyDescent="0.3">
      <c r="B5" s="51" t="s">
        <v>29</v>
      </c>
      <c r="C5" s="66" t="s">
        <v>515</v>
      </c>
      <c r="D5" s="67">
        <f>O36</f>
        <v>235022.22222222222</v>
      </c>
      <c r="E5" s="67">
        <f>T36</f>
        <v>258524.44444444447</v>
      </c>
      <c r="F5" s="67">
        <f>Y36</f>
        <v>284376.88888888893</v>
      </c>
      <c r="G5" s="67">
        <f>D5+E5+F5</f>
        <v>777923.55555555562</v>
      </c>
    </row>
    <row r="6" spans="2:26" ht="30.75" customHeight="1" x14ac:dyDescent="0.3">
      <c r="B6" s="51" t="s">
        <v>30</v>
      </c>
      <c r="C6" s="66" t="s">
        <v>497</v>
      </c>
      <c r="D6" s="67">
        <f>O43</f>
        <v>109999.99999999999</v>
      </c>
      <c r="E6" s="67">
        <f>T43</f>
        <v>158000</v>
      </c>
      <c r="F6" s="67">
        <f>Y43</f>
        <v>215200</v>
      </c>
      <c r="G6" s="67">
        <f>D6+E6+F6</f>
        <v>483200</v>
      </c>
    </row>
    <row r="7" spans="2:26" ht="20.25" customHeight="1" x14ac:dyDescent="0.3">
      <c r="B7" s="51" t="s">
        <v>516</v>
      </c>
      <c r="C7" s="66" t="s">
        <v>31</v>
      </c>
      <c r="D7" s="67">
        <f>O50</f>
        <v>97268.518518518511</v>
      </c>
      <c r="E7" s="67">
        <f>T50</f>
        <v>106995.37037037036</v>
      </c>
      <c r="F7" s="67">
        <f>Y50</f>
        <v>117694.90740740742</v>
      </c>
      <c r="G7" s="67">
        <f>D7+E7+F7</f>
        <v>321958.79629629629</v>
      </c>
    </row>
    <row r="8" spans="2:26" ht="20.25" customHeight="1" x14ac:dyDescent="0.3">
      <c r="B8" s="51"/>
      <c r="C8" s="66" t="s">
        <v>32</v>
      </c>
      <c r="D8" s="67">
        <f>O59</f>
        <v>400000</v>
      </c>
      <c r="E8" s="67">
        <f>T59</f>
        <v>350000</v>
      </c>
      <c r="F8" s="67">
        <f>Y59</f>
        <v>350000</v>
      </c>
      <c r="G8" s="67">
        <f>D8+E8+F8</f>
        <v>1100000</v>
      </c>
    </row>
    <row r="9" spans="2:26" ht="20.25" customHeight="1" x14ac:dyDescent="0.3">
      <c r="B9" s="51"/>
      <c r="C9" s="66" t="s">
        <v>33</v>
      </c>
      <c r="D9" s="67">
        <v>70000</v>
      </c>
      <c r="E9" s="67">
        <v>60000</v>
      </c>
      <c r="F9" s="67">
        <v>70000</v>
      </c>
      <c r="G9" s="67">
        <f>D9+E9+F9</f>
        <v>200000</v>
      </c>
    </row>
    <row r="10" spans="2:26" x14ac:dyDescent="0.3">
      <c r="B10" s="51"/>
      <c r="C10" s="68" t="s">
        <v>10</v>
      </c>
      <c r="D10" s="69">
        <f>D5+D6+D7+D8</f>
        <v>842290.74074074067</v>
      </c>
      <c r="E10" s="69">
        <f>E5+E6+E7+E8</f>
        <v>873519.81481481483</v>
      </c>
      <c r="F10" s="69">
        <f>F5+F6+F7+F8</f>
        <v>967271.79629629641</v>
      </c>
      <c r="G10" s="69">
        <f>G5+G6+G7+G8</f>
        <v>2683082.3518518517</v>
      </c>
    </row>
    <row r="11" spans="2:26" s="480" customFormat="1" x14ac:dyDescent="0.3">
      <c r="B11" s="477"/>
      <c r="C11" s="478"/>
      <c r="D11" s="479"/>
      <c r="E11" s="479"/>
      <c r="F11" s="479"/>
      <c r="G11" s="479"/>
      <c r="I11" s="481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</row>
    <row r="12" spans="2:26" x14ac:dyDescent="0.3">
      <c r="B12" s="806" t="s">
        <v>34</v>
      </c>
      <c r="C12" s="807"/>
      <c r="D12" s="807"/>
      <c r="E12" s="807"/>
      <c r="F12" s="807"/>
      <c r="G12" s="807"/>
      <c r="H12" s="807"/>
      <c r="I12" s="807"/>
    </row>
    <row r="13" spans="2:26" x14ac:dyDescent="0.3">
      <c r="B13" s="3"/>
      <c r="C13" s="3"/>
      <c r="D13" s="3"/>
      <c r="E13" s="3"/>
      <c r="F13" s="3"/>
      <c r="G13" s="3"/>
      <c r="H13" s="3"/>
      <c r="I13" s="464"/>
      <c r="J13" s="4"/>
      <c r="K13" s="841" t="s">
        <v>26</v>
      </c>
      <c r="L13" s="841"/>
      <c r="M13" s="841"/>
      <c r="N13" s="841"/>
      <c r="O13" s="517" t="s">
        <v>26</v>
      </c>
      <c r="P13" s="842" t="s">
        <v>27</v>
      </c>
      <c r="Q13" s="842"/>
      <c r="R13" s="842"/>
      <c r="S13" s="842"/>
      <c r="T13" s="517" t="s">
        <v>27</v>
      </c>
      <c r="U13" s="842" t="s">
        <v>28</v>
      </c>
      <c r="V13" s="842"/>
      <c r="W13" s="842"/>
      <c r="X13" s="842"/>
      <c r="Y13" s="517" t="s">
        <v>28</v>
      </c>
      <c r="Z13" s="6"/>
    </row>
    <row r="14" spans="2:26" x14ac:dyDescent="0.3">
      <c r="B14" s="3"/>
      <c r="C14" s="3" t="s">
        <v>35</v>
      </c>
      <c r="D14" s="3"/>
      <c r="E14" s="3"/>
      <c r="F14" s="3"/>
      <c r="G14" s="3"/>
      <c r="H14" s="3"/>
      <c r="I14" s="464"/>
      <c r="J14" s="4"/>
      <c r="K14" s="7" t="s">
        <v>36</v>
      </c>
      <c r="L14" s="7" t="s">
        <v>37</v>
      </c>
      <c r="M14" s="7" t="s">
        <v>38</v>
      </c>
      <c r="N14" s="7" t="s">
        <v>39</v>
      </c>
      <c r="O14" s="517" t="s">
        <v>9</v>
      </c>
      <c r="P14" s="8" t="s">
        <v>36</v>
      </c>
      <c r="Q14" s="8" t="s">
        <v>37</v>
      </c>
      <c r="R14" s="8" t="s">
        <v>38</v>
      </c>
      <c r="S14" s="8" t="s">
        <v>39</v>
      </c>
      <c r="T14" s="517" t="s">
        <v>9</v>
      </c>
      <c r="U14" s="8" t="s">
        <v>36</v>
      </c>
      <c r="V14" s="8" t="s">
        <v>37</v>
      </c>
      <c r="W14" s="8" t="s">
        <v>38</v>
      </c>
      <c r="X14" s="8" t="s">
        <v>39</v>
      </c>
      <c r="Y14" s="517" t="s">
        <v>9</v>
      </c>
      <c r="Z14" s="6" t="s">
        <v>40</v>
      </c>
    </row>
    <row r="15" spans="2:26" ht="17.100000000000001" customHeight="1" x14ac:dyDescent="0.3">
      <c r="B15" s="9" t="s">
        <v>29</v>
      </c>
      <c r="C15" s="835" t="str">
        <f>C5</f>
        <v xml:space="preserve">Human resources at the National level (4 technical/medical officers at national level; 3 program assistant and 4 data support staff) </v>
      </c>
      <c r="D15" s="836"/>
      <c r="E15" s="836"/>
      <c r="F15" s="836"/>
      <c r="G15" s="836"/>
      <c r="H15" s="836"/>
      <c r="I15" s="837"/>
      <c r="J15" s="4"/>
      <c r="K15" s="7"/>
      <c r="L15" s="7"/>
      <c r="M15" s="7"/>
      <c r="N15" s="7"/>
      <c r="O15" s="517"/>
      <c r="P15" s="8"/>
      <c r="Q15" s="8"/>
      <c r="R15" s="8"/>
      <c r="S15" s="8"/>
      <c r="T15" s="517"/>
      <c r="U15" s="8"/>
      <c r="V15" s="8"/>
      <c r="W15" s="8"/>
      <c r="X15" s="8"/>
      <c r="Y15" s="517"/>
      <c r="Z15" s="6"/>
    </row>
    <row r="16" spans="2:26" x14ac:dyDescent="0.3">
      <c r="B16" s="3"/>
      <c r="C16" s="832" t="s">
        <v>41</v>
      </c>
      <c r="D16" s="833"/>
      <c r="E16" s="833"/>
      <c r="F16" s="833"/>
      <c r="G16" s="833"/>
      <c r="H16" s="833"/>
      <c r="I16" s="834"/>
      <c r="J16" s="4"/>
      <c r="K16" s="7">
        <v>4</v>
      </c>
      <c r="L16" s="7">
        <v>4</v>
      </c>
      <c r="M16" s="7">
        <v>4</v>
      </c>
      <c r="N16" s="7">
        <v>4</v>
      </c>
      <c r="O16" s="517">
        <v>4</v>
      </c>
      <c r="P16" s="8">
        <f>4</f>
        <v>4</v>
      </c>
      <c r="Q16" s="8">
        <f>4</f>
        <v>4</v>
      </c>
      <c r="R16" s="8">
        <f>4</f>
        <v>4</v>
      </c>
      <c r="S16" s="8">
        <f>4</f>
        <v>4</v>
      </c>
      <c r="T16" s="517">
        <v>4</v>
      </c>
      <c r="U16" s="8">
        <v>4</v>
      </c>
      <c r="V16" s="8">
        <v>4</v>
      </c>
      <c r="W16" s="8">
        <v>4</v>
      </c>
      <c r="X16" s="8">
        <v>4</v>
      </c>
      <c r="Y16" s="517">
        <v>4</v>
      </c>
      <c r="Z16" s="6"/>
    </row>
    <row r="17" spans="2:26" x14ac:dyDescent="0.3">
      <c r="B17" s="3"/>
      <c r="C17" s="832" t="s">
        <v>42</v>
      </c>
      <c r="D17" s="833"/>
      <c r="E17" s="833"/>
      <c r="F17" s="833"/>
      <c r="G17" s="833"/>
      <c r="H17" s="833"/>
      <c r="I17" s="834"/>
      <c r="J17" s="4"/>
      <c r="K17" s="7">
        <v>3</v>
      </c>
      <c r="L17" s="7">
        <v>3</v>
      </c>
      <c r="M17" s="7">
        <v>3</v>
      </c>
      <c r="N17" s="7">
        <v>3</v>
      </c>
      <c r="O17" s="8">
        <v>3</v>
      </c>
      <c r="P17" s="8">
        <v>3</v>
      </c>
      <c r="Q17" s="8">
        <v>3</v>
      </c>
      <c r="R17" s="8">
        <v>3</v>
      </c>
      <c r="S17" s="8">
        <v>3</v>
      </c>
      <c r="T17" s="8">
        <v>3</v>
      </c>
      <c r="U17" s="8">
        <v>3</v>
      </c>
      <c r="V17" s="8">
        <v>3</v>
      </c>
      <c r="W17" s="8">
        <v>3</v>
      </c>
      <c r="X17" s="8">
        <v>3</v>
      </c>
      <c r="Y17" s="8">
        <v>3</v>
      </c>
      <c r="Z17" s="6"/>
    </row>
    <row r="18" spans="2:26" x14ac:dyDescent="0.3">
      <c r="B18" s="3"/>
      <c r="C18" s="832" t="s">
        <v>43</v>
      </c>
      <c r="D18" s="833"/>
      <c r="E18" s="833"/>
      <c r="F18" s="833"/>
      <c r="G18" s="833"/>
      <c r="H18" s="833"/>
      <c r="I18" s="834"/>
      <c r="J18" s="4"/>
      <c r="K18" s="7">
        <v>4</v>
      </c>
      <c r="L18" s="7">
        <v>4</v>
      </c>
      <c r="M18" s="7">
        <v>4</v>
      </c>
      <c r="N18" s="7">
        <v>4</v>
      </c>
      <c r="O18" s="8">
        <v>4</v>
      </c>
      <c r="P18" s="8">
        <v>4</v>
      </c>
      <c r="Q18" s="8">
        <v>4</v>
      </c>
      <c r="R18" s="8">
        <v>4</v>
      </c>
      <c r="S18" s="8">
        <v>4</v>
      </c>
      <c r="T18" s="8">
        <v>4</v>
      </c>
      <c r="U18" s="8">
        <v>4</v>
      </c>
      <c r="V18" s="8">
        <v>4</v>
      </c>
      <c r="W18" s="8">
        <v>4</v>
      </c>
      <c r="X18" s="8">
        <v>4</v>
      </c>
      <c r="Y18" s="8">
        <v>4</v>
      </c>
      <c r="Z18" s="6"/>
    </row>
    <row r="19" spans="2:26" x14ac:dyDescent="0.3">
      <c r="B19" s="3"/>
      <c r="C19" s="10"/>
      <c r="D19" s="10"/>
      <c r="E19" s="10"/>
      <c r="F19" s="10"/>
      <c r="G19" s="10"/>
      <c r="H19" s="10"/>
      <c r="I19" s="465"/>
      <c r="J19" s="4"/>
      <c r="K19" s="7"/>
      <c r="L19" s="7"/>
      <c r="M19" s="7"/>
      <c r="N19" s="7"/>
      <c r="O19" s="517"/>
      <c r="P19" s="8"/>
      <c r="Q19" s="8"/>
      <c r="R19" s="8"/>
      <c r="S19" s="8"/>
      <c r="T19" s="517"/>
      <c r="U19" s="8"/>
      <c r="V19" s="8"/>
      <c r="W19" s="8"/>
      <c r="X19" s="8"/>
      <c r="Y19" s="517"/>
      <c r="Z19" s="6"/>
    </row>
    <row r="20" spans="2:26" x14ac:dyDescent="0.3">
      <c r="B20" s="51" t="s">
        <v>30</v>
      </c>
      <c r="C20" s="835" t="str">
        <f>C6</f>
        <v>Strengthening  laboratories for VPD surveillance</v>
      </c>
      <c r="D20" s="836"/>
      <c r="E20" s="836"/>
      <c r="F20" s="836"/>
      <c r="G20" s="836"/>
      <c r="H20" s="836"/>
      <c r="I20" s="837"/>
      <c r="J20" s="4"/>
      <c r="K20" s="7"/>
      <c r="L20" s="7"/>
      <c r="M20" s="7"/>
      <c r="N20" s="7"/>
      <c r="O20" s="517"/>
      <c r="P20" s="8"/>
      <c r="Q20" s="8"/>
      <c r="R20" s="8"/>
      <c r="S20" s="8"/>
      <c r="T20" s="517"/>
      <c r="U20" s="8"/>
      <c r="V20" s="8"/>
      <c r="W20" s="8"/>
      <c r="X20" s="8"/>
      <c r="Y20" s="517"/>
      <c r="Z20" s="6"/>
    </row>
    <row r="21" spans="2:26" x14ac:dyDescent="0.3">
      <c r="B21" s="3"/>
      <c r="C21" s="832" t="s">
        <v>44</v>
      </c>
      <c r="D21" s="833"/>
      <c r="E21" s="833"/>
      <c r="F21" s="833"/>
      <c r="G21" s="833"/>
      <c r="H21" s="833"/>
      <c r="I21" s="834"/>
      <c r="J21" s="4"/>
      <c r="K21" s="7">
        <v>2</v>
      </c>
      <c r="L21" s="7"/>
      <c r="M21" s="7"/>
      <c r="N21" s="7"/>
      <c r="O21" s="517">
        <v>2</v>
      </c>
      <c r="P21" s="8">
        <v>2</v>
      </c>
      <c r="Q21" s="8"/>
      <c r="R21" s="8"/>
      <c r="S21" s="8"/>
      <c r="T21" s="517">
        <v>2</v>
      </c>
      <c r="U21" s="8">
        <v>2</v>
      </c>
      <c r="V21" s="8"/>
      <c r="W21" s="8"/>
      <c r="X21" s="8"/>
      <c r="Y21" s="517">
        <v>2</v>
      </c>
      <c r="Z21" s="6"/>
    </row>
    <row r="22" spans="2:26" x14ac:dyDescent="0.3">
      <c r="B22" s="3"/>
      <c r="C22" s="832" t="s">
        <v>45</v>
      </c>
      <c r="D22" s="833"/>
      <c r="E22" s="833"/>
      <c r="F22" s="833"/>
      <c r="G22" s="833"/>
      <c r="H22" s="833"/>
      <c r="I22" s="834"/>
      <c r="J22" s="4"/>
      <c r="K22" s="7">
        <v>2</v>
      </c>
      <c r="L22" s="7">
        <v>2</v>
      </c>
      <c r="M22" s="7">
        <v>2</v>
      </c>
      <c r="N22" s="7">
        <v>2</v>
      </c>
      <c r="O22" s="517">
        <v>2</v>
      </c>
      <c r="P22" s="8">
        <v>4</v>
      </c>
      <c r="Q22" s="8">
        <v>4</v>
      </c>
      <c r="R22" s="8">
        <v>4</v>
      </c>
      <c r="S22" s="8">
        <v>4</v>
      </c>
      <c r="T22" s="517">
        <v>4</v>
      </c>
      <c r="U22" s="8">
        <v>6</v>
      </c>
      <c r="V22" s="8">
        <v>6</v>
      </c>
      <c r="W22" s="8">
        <v>6</v>
      </c>
      <c r="X22" s="8">
        <v>6</v>
      </c>
      <c r="Y22" s="517">
        <v>6</v>
      </c>
      <c r="Z22" s="6"/>
    </row>
    <row r="23" spans="2:26" x14ac:dyDescent="0.3">
      <c r="B23" s="3"/>
      <c r="C23" s="10"/>
      <c r="D23" s="10"/>
      <c r="E23" s="10"/>
      <c r="F23" s="10"/>
      <c r="G23" s="10"/>
      <c r="H23" s="10"/>
      <c r="I23" s="465"/>
      <c r="J23" s="4"/>
      <c r="K23" s="7"/>
      <c r="L23" s="7"/>
      <c r="M23" s="7"/>
      <c r="N23" s="7"/>
      <c r="O23" s="517"/>
      <c r="P23" s="8"/>
      <c r="Q23" s="8"/>
      <c r="R23" s="8"/>
      <c r="S23" s="8"/>
      <c r="T23" s="517"/>
      <c r="U23" s="8"/>
      <c r="V23" s="8"/>
      <c r="W23" s="8"/>
      <c r="X23" s="8"/>
      <c r="Y23" s="517"/>
      <c r="Z23" s="6"/>
    </row>
    <row r="24" spans="2:26" x14ac:dyDescent="0.3">
      <c r="B24" s="51" t="s">
        <v>46</v>
      </c>
      <c r="C24" s="835" t="str">
        <f>C7</f>
        <v xml:space="preserve">National/state level trainings workshops  </v>
      </c>
      <c r="D24" s="836"/>
      <c r="E24" s="836"/>
      <c r="F24" s="836"/>
      <c r="G24" s="836"/>
      <c r="H24" s="836"/>
      <c r="I24" s="837"/>
      <c r="J24" s="4"/>
      <c r="K24" s="7"/>
      <c r="L24" s="7"/>
      <c r="M24" s="7"/>
      <c r="N24" s="7"/>
      <c r="O24" s="517"/>
      <c r="P24" s="8"/>
      <c r="Q24" s="8"/>
      <c r="R24" s="8"/>
      <c r="S24" s="8"/>
      <c r="T24" s="517"/>
      <c r="U24" s="8"/>
      <c r="V24" s="8"/>
      <c r="W24" s="8"/>
      <c r="X24" s="8"/>
      <c r="Y24" s="517"/>
      <c r="Z24" s="6"/>
    </row>
    <row r="25" spans="2:26" x14ac:dyDescent="0.3">
      <c r="B25" s="3"/>
      <c r="C25" s="832" t="s">
        <v>47</v>
      </c>
      <c r="D25" s="833"/>
      <c r="E25" s="833"/>
      <c r="F25" s="833"/>
      <c r="G25" s="833"/>
      <c r="H25" s="833"/>
      <c r="I25" s="834"/>
      <c r="J25" s="4"/>
      <c r="K25" s="7"/>
      <c r="L25" s="7">
        <v>1</v>
      </c>
      <c r="M25" s="7"/>
      <c r="N25" s="7"/>
      <c r="O25" s="517">
        <v>1</v>
      </c>
      <c r="P25" s="8"/>
      <c r="Q25" s="8">
        <v>1</v>
      </c>
      <c r="R25" s="8"/>
      <c r="S25" s="8"/>
      <c r="T25" s="517"/>
      <c r="U25" s="8"/>
      <c r="V25" s="8">
        <v>1</v>
      </c>
      <c r="W25" s="8"/>
      <c r="X25" s="8"/>
      <c r="Y25" s="517"/>
      <c r="Z25" s="6"/>
    </row>
    <row r="26" spans="2:26" x14ac:dyDescent="0.3">
      <c r="B26" s="3"/>
      <c r="C26" s="832" t="s">
        <v>48</v>
      </c>
      <c r="D26" s="833"/>
      <c r="E26" s="833"/>
      <c r="F26" s="833"/>
      <c r="G26" s="833"/>
      <c r="H26" s="833"/>
      <c r="I26" s="834"/>
      <c r="J26" s="4"/>
      <c r="K26" s="7"/>
      <c r="L26" s="7"/>
      <c r="M26" s="7">
        <v>3</v>
      </c>
      <c r="N26" s="7"/>
      <c r="O26" s="517"/>
      <c r="P26" s="8"/>
      <c r="Q26" s="8"/>
      <c r="R26" s="8">
        <v>3</v>
      </c>
      <c r="S26" s="8"/>
      <c r="T26" s="517"/>
      <c r="U26" s="8"/>
      <c r="V26" s="8"/>
      <c r="W26" s="8">
        <v>3</v>
      </c>
      <c r="X26" s="8"/>
      <c r="Y26" s="517"/>
      <c r="Z26" s="6"/>
    </row>
    <row r="27" spans="2:26" x14ac:dyDescent="0.3">
      <c r="B27" s="3"/>
      <c r="C27" s="10"/>
      <c r="D27" s="10"/>
      <c r="E27" s="10"/>
      <c r="F27" s="10"/>
      <c r="G27" s="10"/>
      <c r="H27" s="10"/>
      <c r="I27" s="465"/>
      <c r="J27" s="4"/>
      <c r="K27" s="7"/>
      <c r="L27" s="7"/>
      <c r="M27" s="7"/>
      <c r="N27" s="7"/>
      <c r="O27" s="517"/>
      <c r="P27" s="8"/>
      <c r="Q27" s="8"/>
      <c r="R27" s="8"/>
      <c r="S27" s="8"/>
      <c r="T27" s="517"/>
      <c r="U27" s="8"/>
      <c r="V27" s="8"/>
      <c r="W27" s="8"/>
      <c r="X27" s="8"/>
      <c r="Y27" s="517"/>
      <c r="Z27" s="6"/>
    </row>
    <row r="30" spans="2:26" x14ac:dyDescent="0.3">
      <c r="B30" s="838" t="str">
        <f>C5</f>
        <v xml:space="preserve">Human resources at the National level (4 technical/medical officers at national level; 3 program assistant and 4 data support staff) </v>
      </c>
      <c r="C30" s="839"/>
      <c r="D30" s="839"/>
      <c r="E30" s="839"/>
      <c r="F30" s="839"/>
      <c r="G30" s="839"/>
      <c r="H30" s="839"/>
      <c r="I30" s="840"/>
      <c r="J30" s="458"/>
      <c r="K30" s="820" t="s">
        <v>26</v>
      </c>
      <c r="L30" s="820"/>
      <c r="M30" s="820"/>
      <c r="N30" s="820"/>
      <c r="O30" s="518" t="str">
        <f>O13</f>
        <v>Year 1</v>
      </c>
      <c r="P30" s="821" t="s">
        <v>27</v>
      </c>
      <c r="Q30" s="821"/>
      <c r="R30" s="821"/>
      <c r="S30" s="821"/>
      <c r="T30" s="11" t="str">
        <f>T13</f>
        <v>Year 2</v>
      </c>
      <c r="U30" s="821" t="s">
        <v>28</v>
      </c>
      <c r="V30" s="821"/>
      <c r="W30" s="821"/>
      <c r="X30" s="821"/>
      <c r="Y30" s="12" t="str">
        <f>Y13</f>
        <v>Year 3</v>
      </c>
      <c r="Z30" s="13" t="s">
        <v>19</v>
      </c>
    </row>
    <row r="31" spans="2:26" ht="28.8" x14ac:dyDescent="0.3">
      <c r="B31" s="14"/>
      <c r="C31" s="464" t="s">
        <v>49</v>
      </c>
      <c r="D31" s="538" t="s">
        <v>517</v>
      </c>
      <c r="E31" s="464" t="s">
        <v>51</v>
      </c>
      <c r="F31" s="464" t="s">
        <v>52</v>
      </c>
      <c r="G31" s="464" t="s">
        <v>53</v>
      </c>
      <c r="H31" s="464" t="s">
        <v>54</v>
      </c>
      <c r="I31" s="464" t="s">
        <v>55</v>
      </c>
      <c r="J31" s="458"/>
      <c r="K31" s="464" t="s">
        <v>36</v>
      </c>
      <c r="L31" s="464" t="s">
        <v>37</v>
      </c>
      <c r="M31" s="464" t="s">
        <v>38</v>
      </c>
      <c r="N31" s="464" t="s">
        <v>39</v>
      </c>
      <c r="O31" s="12" t="s">
        <v>9</v>
      </c>
      <c r="P31" s="12" t="s">
        <v>36</v>
      </c>
      <c r="Q31" s="12" t="s">
        <v>37</v>
      </c>
      <c r="R31" s="12" t="s">
        <v>38</v>
      </c>
      <c r="S31" s="12" t="s">
        <v>39</v>
      </c>
      <c r="T31" s="12" t="s">
        <v>9</v>
      </c>
      <c r="U31" s="12" t="s">
        <v>36</v>
      </c>
      <c r="V31" s="12" t="s">
        <v>37</v>
      </c>
      <c r="W31" s="12" t="s">
        <v>38</v>
      </c>
      <c r="X31" s="12" t="s">
        <v>39</v>
      </c>
      <c r="Y31" s="12" t="s">
        <v>9</v>
      </c>
      <c r="Z31" s="13"/>
    </row>
    <row r="32" spans="2:26" ht="28.8" x14ac:dyDescent="0.3">
      <c r="B32" s="464" t="s">
        <v>29</v>
      </c>
      <c r="C32" s="483" t="str">
        <f>C15</f>
        <v xml:space="preserve">Human resources at the National level (4 technical/medical officers at national level; 3 program assistant and 4 data support staff) </v>
      </c>
      <c r="D32" s="464"/>
      <c r="E32" s="464"/>
      <c r="F32" s="464"/>
      <c r="G32" s="464"/>
      <c r="H32" s="464"/>
      <c r="I32" s="464"/>
      <c r="J32" s="458"/>
      <c r="K32" s="464"/>
      <c r="L32" s="464"/>
      <c r="M32" s="464"/>
      <c r="N32" s="46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</row>
    <row r="33" spans="2:26" x14ac:dyDescent="0.3">
      <c r="B33" s="464"/>
      <c r="C33" s="464" t="str">
        <f>C16</f>
        <v>Technical Officers</v>
      </c>
      <c r="D33" s="464">
        <v>168100</v>
      </c>
      <c r="E33" s="519" t="s">
        <v>518</v>
      </c>
      <c r="F33" s="519" t="s">
        <v>518</v>
      </c>
      <c r="G33" s="16">
        <v>1</v>
      </c>
      <c r="H33" s="464">
        <f>D33*G33</f>
        <v>168100</v>
      </c>
      <c r="I33" s="464">
        <f>H33/54</f>
        <v>3112.962962962963</v>
      </c>
      <c r="J33" s="458"/>
      <c r="K33" s="464">
        <f>I33*K16*3</f>
        <v>37355.555555555555</v>
      </c>
      <c r="L33" s="464">
        <f t="shared" ref="L33:N35" si="0">K33</f>
        <v>37355.555555555555</v>
      </c>
      <c r="M33" s="464">
        <f t="shared" si="0"/>
        <v>37355.555555555555</v>
      </c>
      <c r="N33" s="464">
        <f t="shared" si="0"/>
        <v>37355.555555555555</v>
      </c>
      <c r="O33" s="12">
        <f>K33+L33+M33+N33</f>
        <v>149422.22222222222</v>
      </c>
      <c r="P33" s="12">
        <f>K33*1.1</f>
        <v>41091.111111111117</v>
      </c>
      <c r="Q33" s="12">
        <f t="shared" ref="Q33:S35" si="1">L33*1.1</f>
        <v>41091.111111111117</v>
      </c>
      <c r="R33" s="12">
        <f t="shared" si="1"/>
        <v>41091.111111111117</v>
      </c>
      <c r="S33" s="12">
        <f t="shared" si="1"/>
        <v>41091.111111111117</v>
      </c>
      <c r="T33" s="12">
        <f>P33+Q33+R33+S33</f>
        <v>164364.44444444447</v>
      </c>
      <c r="U33" s="12">
        <f>P33*1.1</f>
        <v>45200.222222222234</v>
      </c>
      <c r="V33" s="12">
        <f t="shared" ref="V33:X34" si="2">Q33*1.1</f>
        <v>45200.222222222234</v>
      </c>
      <c r="W33" s="12">
        <f t="shared" si="2"/>
        <v>45200.222222222234</v>
      </c>
      <c r="X33" s="12">
        <f t="shared" si="2"/>
        <v>45200.222222222234</v>
      </c>
      <c r="Y33" s="12">
        <f>U33+V33+W33+X33</f>
        <v>180800.88888888893</v>
      </c>
      <c r="Z33" s="13">
        <f>O33+T33+Y33</f>
        <v>494587.55555555562</v>
      </c>
    </row>
    <row r="34" spans="2:26" x14ac:dyDescent="0.3">
      <c r="B34" s="464"/>
      <c r="C34" s="464" t="str">
        <f>C17</f>
        <v>Programme Assistants</v>
      </c>
      <c r="D34" s="464">
        <v>63200</v>
      </c>
      <c r="E34" s="519" t="s">
        <v>518</v>
      </c>
      <c r="F34" s="519" t="s">
        <v>518</v>
      </c>
      <c r="G34" s="16">
        <v>1</v>
      </c>
      <c r="H34" s="464">
        <f>D34*G34</f>
        <v>63200</v>
      </c>
      <c r="I34" s="464">
        <f>H34/54</f>
        <v>1170.3703703703704</v>
      </c>
      <c r="J34" s="458"/>
      <c r="K34" s="464">
        <f>I34*K17*3</f>
        <v>10533.333333333334</v>
      </c>
      <c r="L34" s="464">
        <f t="shared" si="0"/>
        <v>10533.333333333334</v>
      </c>
      <c r="M34" s="464">
        <f t="shared" si="0"/>
        <v>10533.333333333334</v>
      </c>
      <c r="N34" s="464">
        <f t="shared" si="0"/>
        <v>10533.333333333334</v>
      </c>
      <c r="O34" s="12">
        <f>K34+L34+M34+N34</f>
        <v>42133.333333333336</v>
      </c>
      <c r="P34" s="12">
        <f>K34*1.1</f>
        <v>11586.666666666668</v>
      </c>
      <c r="Q34" s="12">
        <f t="shared" si="1"/>
        <v>11586.666666666668</v>
      </c>
      <c r="R34" s="12">
        <f t="shared" si="1"/>
        <v>11586.666666666668</v>
      </c>
      <c r="S34" s="12">
        <f t="shared" si="1"/>
        <v>11586.666666666668</v>
      </c>
      <c r="T34" s="12">
        <f>P34+Q34+R34+S34</f>
        <v>46346.666666666672</v>
      </c>
      <c r="U34" s="12">
        <f>P34*1.1</f>
        <v>12745.333333333336</v>
      </c>
      <c r="V34" s="12">
        <f t="shared" si="2"/>
        <v>12745.333333333336</v>
      </c>
      <c r="W34" s="12">
        <f t="shared" si="2"/>
        <v>12745.333333333336</v>
      </c>
      <c r="X34" s="12">
        <f t="shared" si="2"/>
        <v>12745.333333333336</v>
      </c>
      <c r="Y34" s="12">
        <f>U34+V34+W34+X34</f>
        <v>50981.333333333343</v>
      </c>
      <c r="Z34" s="13">
        <f>O34+T34+Y34</f>
        <v>139461.33333333334</v>
      </c>
    </row>
    <row r="35" spans="2:26" x14ac:dyDescent="0.3">
      <c r="B35" s="464"/>
      <c r="C35" s="464" t="str">
        <f>C18</f>
        <v>Data Support Staff</v>
      </c>
      <c r="D35" s="464">
        <v>48900</v>
      </c>
      <c r="E35" s="519" t="s">
        <v>518</v>
      </c>
      <c r="F35" s="519" t="s">
        <v>518</v>
      </c>
      <c r="G35" s="16">
        <v>1</v>
      </c>
      <c r="H35" s="464">
        <f>D35*G35</f>
        <v>48900</v>
      </c>
      <c r="I35" s="464">
        <f>H35/54</f>
        <v>905.55555555555554</v>
      </c>
      <c r="J35" s="458"/>
      <c r="K35" s="464">
        <f>I35*K18*3</f>
        <v>10866.666666666666</v>
      </c>
      <c r="L35" s="464">
        <f t="shared" si="0"/>
        <v>10866.666666666666</v>
      </c>
      <c r="M35" s="464">
        <f t="shared" si="0"/>
        <v>10866.666666666666</v>
      </c>
      <c r="N35" s="464">
        <f t="shared" si="0"/>
        <v>10866.666666666666</v>
      </c>
      <c r="O35" s="12">
        <f>K35+L35+M35+N35</f>
        <v>43466.666666666664</v>
      </c>
      <c r="P35" s="12">
        <f>K35*1.1</f>
        <v>11953.333333333334</v>
      </c>
      <c r="Q35" s="12">
        <f t="shared" si="1"/>
        <v>11953.333333333334</v>
      </c>
      <c r="R35" s="12">
        <f t="shared" si="1"/>
        <v>11953.333333333334</v>
      </c>
      <c r="S35" s="12">
        <f t="shared" si="1"/>
        <v>11953.333333333334</v>
      </c>
      <c r="T35" s="12">
        <f>P35+Q35+R35+S35</f>
        <v>47813.333333333336</v>
      </c>
      <c r="U35" s="12">
        <f>P35*1.1</f>
        <v>13148.666666666668</v>
      </c>
      <c r="V35" s="12">
        <f>Q35*1.1</f>
        <v>13148.666666666668</v>
      </c>
      <c r="W35" s="12">
        <f>R35*1.1</f>
        <v>13148.666666666668</v>
      </c>
      <c r="X35" s="12">
        <f>S35*1.1</f>
        <v>13148.666666666668</v>
      </c>
      <c r="Y35" s="12">
        <f>U35+V35+W35+X35</f>
        <v>52594.666666666672</v>
      </c>
      <c r="Z35" s="13">
        <f>O35+T35+Y35</f>
        <v>143874.66666666669</v>
      </c>
    </row>
    <row r="36" spans="2:26" x14ac:dyDescent="0.3">
      <c r="B36" s="467"/>
      <c r="C36" s="467" t="s">
        <v>56</v>
      </c>
      <c r="D36" s="467"/>
      <c r="E36" s="467"/>
      <c r="F36" s="467"/>
      <c r="G36" s="467"/>
      <c r="H36" s="467"/>
      <c r="I36" s="467"/>
      <c r="J36" s="473"/>
      <c r="K36" s="467">
        <f>K33+K34+K35</f>
        <v>58755.555555555555</v>
      </c>
      <c r="L36" s="467">
        <f t="shared" ref="L36:Z36" si="3">L33+L34+L35</f>
        <v>58755.555555555555</v>
      </c>
      <c r="M36" s="467">
        <f t="shared" si="3"/>
        <v>58755.555555555555</v>
      </c>
      <c r="N36" s="467">
        <f t="shared" si="3"/>
        <v>58755.555555555555</v>
      </c>
      <c r="O36" s="15">
        <f t="shared" si="3"/>
        <v>235022.22222222222</v>
      </c>
      <c r="P36" s="15">
        <f t="shared" si="3"/>
        <v>64631.111111111117</v>
      </c>
      <c r="Q36" s="15">
        <f t="shared" si="3"/>
        <v>64631.111111111117</v>
      </c>
      <c r="R36" s="15">
        <f t="shared" si="3"/>
        <v>64631.111111111117</v>
      </c>
      <c r="S36" s="15">
        <f t="shared" si="3"/>
        <v>64631.111111111117</v>
      </c>
      <c r="T36" s="15">
        <f t="shared" si="3"/>
        <v>258524.44444444447</v>
      </c>
      <c r="U36" s="15">
        <f t="shared" si="3"/>
        <v>71094.222222222234</v>
      </c>
      <c r="V36" s="15">
        <f t="shared" si="3"/>
        <v>71094.222222222234</v>
      </c>
      <c r="W36" s="15">
        <f t="shared" si="3"/>
        <v>71094.222222222234</v>
      </c>
      <c r="X36" s="15">
        <f t="shared" si="3"/>
        <v>71094.222222222234</v>
      </c>
      <c r="Y36" s="15">
        <f t="shared" si="3"/>
        <v>284376.88888888893</v>
      </c>
      <c r="Z36" s="15">
        <f t="shared" si="3"/>
        <v>777923.55555555574</v>
      </c>
    </row>
    <row r="37" spans="2:26" x14ac:dyDescent="0.3">
      <c r="J37" s="95"/>
    </row>
    <row r="38" spans="2:26" x14ac:dyDescent="0.3">
      <c r="B38" s="772" t="str">
        <f>C6</f>
        <v>Strengthening  laboratories for VPD surveillance</v>
      </c>
      <c r="C38" s="773"/>
      <c r="D38" s="773"/>
      <c r="E38" s="773"/>
      <c r="F38" s="773"/>
      <c r="G38" s="773"/>
      <c r="H38" s="773"/>
      <c r="I38" s="791"/>
      <c r="J38" s="95"/>
      <c r="K38" s="820" t="s">
        <v>26</v>
      </c>
      <c r="L38" s="820"/>
      <c r="M38" s="820"/>
      <c r="N38" s="820"/>
      <c r="O38" s="518" t="str">
        <f>O30</f>
        <v>Year 1</v>
      </c>
      <c r="P38" s="821" t="s">
        <v>27</v>
      </c>
      <c r="Q38" s="821"/>
      <c r="R38" s="821"/>
      <c r="S38" s="821"/>
      <c r="T38" s="11" t="str">
        <f>T30</f>
        <v>Year 2</v>
      </c>
      <c r="U38" s="821" t="s">
        <v>28</v>
      </c>
      <c r="V38" s="821"/>
      <c r="W38" s="821"/>
      <c r="X38" s="821"/>
      <c r="Y38" s="12" t="str">
        <f>Y30</f>
        <v>Year 3</v>
      </c>
      <c r="Z38" s="13" t="s">
        <v>19</v>
      </c>
    </row>
    <row r="39" spans="2:26" x14ac:dyDescent="0.3">
      <c r="B39" s="3"/>
      <c r="C39" s="3" t="s">
        <v>49</v>
      </c>
      <c r="D39" s="3" t="s">
        <v>50</v>
      </c>
      <c r="E39" s="3" t="s">
        <v>51</v>
      </c>
      <c r="F39" s="3" t="s">
        <v>52</v>
      </c>
      <c r="G39" s="3" t="s">
        <v>53</v>
      </c>
      <c r="H39" s="3" t="s">
        <v>54</v>
      </c>
      <c r="I39" s="464" t="s">
        <v>55</v>
      </c>
      <c r="J39" s="95"/>
      <c r="K39" s="464" t="s">
        <v>36</v>
      </c>
      <c r="L39" s="464" t="s">
        <v>37</v>
      </c>
      <c r="M39" s="464" t="s">
        <v>38</v>
      </c>
      <c r="N39" s="464" t="s">
        <v>39</v>
      </c>
      <c r="O39" s="12" t="s">
        <v>9</v>
      </c>
      <c r="P39" s="12" t="s">
        <v>36</v>
      </c>
      <c r="Q39" s="12" t="s">
        <v>37</v>
      </c>
      <c r="R39" s="12" t="s">
        <v>38</v>
      </c>
      <c r="S39" s="12" t="s">
        <v>39</v>
      </c>
      <c r="T39" s="12" t="s">
        <v>9</v>
      </c>
      <c r="U39" s="12" t="s">
        <v>36</v>
      </c>
      <c r="V39" s="12" t="s">
        <v>37</v>
      </c>
      <c r="W39" s="12" t="s">
        <v>38</v>
      </c>
      <c r="X39" s="12" t="s">
        <v>39</v>
      </c>
      <c r="Y39" s="12" t="s">
        <v>9</v>
      </c>
      <c r="Z39" s="13"/>
    </row>
    <row r="40" spans="2:26" x14ac:dyDescent="0.3">
      <c r="B40" s="3" t="s">
        <v>30</v>
      </c>
      <c r="C40" s="66" t="str">
        <f>C20</f>
        <v>Strengthening  laboratories for VPD surveillance</v>
      </c>
      <c r="D40" s="3"/>
      <c r="E40" s="3"/>
      <c r="F40" s="3"/>
      <c r="G40" s="3"/>
      <c r="H40" s="3"/>
      <c r="I40" s="464"/>
      <c r="J40" s="95"/>
      <c r="K40" s="464"/>
      <c r="L40" s="464"/>
      <c r="M40" s="464"/>
      <c r="N40" s="46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"/>
    </row>
    <row r="41" spans="2:26" x14ac:dyDescent="0.3">
      <c r="B41" s="3"/>
      <c r="C41" s="3" t="str">
        <f>C21</f>
        <v>Procurement of Equipment</v>
      </c>
      <c r="D41" s="464">
        <f>E80</f>
        <v>2700000</v>
      </c>
      <c r="E41" s="519" t="s">
        <v>518</v>
      </c>
      <c r="F41" s="519" t="s">
        <v>518</v>
      </c>
      <c r="G41" s="16">
        <v>0.7</v>
      </c>
      <c r="H41" s="464">
        <f t="shared" ref="H41:H42" si="4">D41*G41</f>
        <v>1889999.9999999998</v>
      </c>
      <c r="I41" s="464">
        <f>H41/54</f>
        <v>34999.999999999993</v>
      </c>
      <c r="J41" s="95"/>
      <c r="K41" s="464">
        <f>I41*K21</f>
        <v>69999.999999999985</v>
      </c>
      <c r="L41" s="464">
        <f>J41*L21</f>
        <v>0</v>
      </c>
      <c r="M41" s="464">
        <f>K41*M21</f>
        <v>0</v>
      </c>
      <c r="N41" s="464">
        <f>L41*N21</f>
        <v>0</v>
      </c>
      <c r="O41" s="12">
        <f>K41+L41+M41+N41</f>
        <v>69999.999999999985</v>
      </c>
      <c r="P41" s="12">
        <f>I41*P21</f>
        <v>69999.999999999985</v>
      </c>
      <c r="Q41" s="12">
        <f>J41*Q21</f>
        <v>0</v>
      </c>
      <c r="R41" s="12">
        <f>K41*R21</f>
        <v>0</v>
      </c>
      <c r="S41" s="12">
        <f>L41*S21</f>
        <v>0</v>
      </c>
      <c r="T41" s="12">
        <f>P41+Q41+R41+S41</f>
        <v>69999.999999999985</v>
      </c>
      <c r="U41" s="12">
        <f>I41*U21</f>
        <v>69999.999999999985</v>
      </c>
      <c r="V41" s="12">
        <f>J41*V21</f>
        <v>0</v>
      </c>
      <c r="W41" s="12">
        <f>K41*W21</f>
        <v>0</v>
      </c>
      <c r="X41" s="12">
        <f>L41*X21</f>
        <v>0</v>
      </c>
      <c r="Y41" s="12">
        <f>U41+V41+W41+X41</f>
        <v>69999.999999999985</v>
      </c>
      <c r="Z41" s="13">
        <f>O41+T41+Y41</f>
        <v>209999.99999999994</v>
      </c>
    </row>
    <row r="42" spans="2:26" x14ac:dyDescent="0.3">
      <c r="B42" s="3"/>
      <c r="C42" s="3" t="str">
        <f>C22</f>
        <v>Consumables</v>
      </c>
      <c r="D42" s="464">
        <v>1080000</v>
      </c>
      <c r="E42" s="519" t="s">
        <v>518</v>
      </c>
      <c r="F42" s="519" t="s">
        <v>518</v>
      </c>
      <c r="G42" s="16">
        <v>1</v>
      </c>
      <c r="H42" s="464">
        <f t="shared" si="4"/>
        <v>1080000</v>
      </c>
      <c r="I42" s="464">
        <f>H42/54</f>
        <v>20000</v>
      </c>
      <c r="J42" s="95"/>
      <c r="K42" s="464">
        <f>I42*K22</f>
        <v>40000</v>
      </c>
      <c r="L42" s="464"/>
      <c r="M42" s="464"/>
      <c r="N42" s="468"/>
      <c r="O42" s="12">
        <f>K42+L42+M42+N42</f>
        <v>40000</v>
      </c>
      <c r="P42" s="17">
        <f>20000*1.1*4</f>
        <v>88000</v>
      </c>
      <c r="Q42" s="17"/>
      <c r="R42" s="17">
        <f>M42*1.1</f>
        <v>0</v>
      </c>
      <c r="S42" s="17">
        <f>N42*1.1</f>
        <v>0</v>
      </c>
      <c r="T42" s="12">
        <f>P42+Q42+R42+S42</f>
        <v>88000</v>
      </c>
      <c r="U42" s="12">
        <f>22000*1.1*6</f>
        <v>145200.00000000003</v>
      </c>
      <c r="V42" s="12"/>
      <c r="W42" s="12">
        <f>R42*1.1</f>
        <v>0</v>
      </c>
      <c r="X42" s="12">
        <f>S42*1.1</f>
        <v>0</v>
      </c>
      <c r="Y42" s="12">
        <f>U42+V42+W42+X42</f>
        <v>145200.00000000003</v>
      </c>
      <c r="Z42" s="13">
        <f>O42+T42+Y42</f>
        <v>273200</v>
      </c>
    </row>
    <row r="43" spans="2:26" x14ac:dyDescent="0.3">
      <c r="B43" s="18"/>
      <c r="C43" s="18" t="s">
        <v>56</v>
      </c>
      <c r="D43" s="18"/>
      <c r="E43" s="18"/>
      <c r="F43" s="18"/>
      <c r="G43" s="18"/>
      <c r="H43" s="19"/>
      <c r="I43" s="467"/>
      <c r="J43" s="95"/>
      <c r="K43" s="467">
        <f>K41+K42</f>
        <v>109999.99999999999</v>
      </c>
      <c r="L43" s="467">
        <f t="shared" ref="L43:Z43" si="5">L41+L42</f>
        <v>0</v>
      </c>
      <c r="M43" s="467">
        <f t="shared" si="5"/>
        <v>0</v>
      </c>
      <c r="N43" s="467">
        <f t="shared" si="5"/>
        <v>0</v>
      </c>
      <c r="O43" s="15">
        <f t="shared" si="5"/>
        <v>109999.99999999999</v>
      </c>
      <c r="P43" s="15">
        <f t="shared" si="5"/>
        <v>158000</v>
      </c>
      <c r="Q43" s="15">
        <f t="shared" si="5"/>
        <v>0</v>
      </c>
      <c r="R43" s="15">
        <f t="shared" si="5"/>
        <v>0</v>
      </c>
      <c r="S43" s="15">
        <f t="shared" si="5"/>
        <v>0</v>
      </c>
      <c r="T43" s="15">
        <f t="shared" si="5"/>
        <v>158000</v>
      </c>
      <c r="U43" s="15">
        <f t="shared" si="5"/>
        <v>215200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215200</v>
      </c>
      <c r="Z43" s="15">
        <f t="shared" si="5"/>
        <v>483199.99999999994</v>
      </c>
    </row>
    <row r="44" spans="2:26" x14ac:dyDescent="0.3">
      <c r="J44" s="95"/>
    </row>
    <row r="45" spans="2:26" x14ac:dyDescent="0.3">
      <c r="B45" s="772" t="str">
        <f>C7</f>
        <v xml:space="preserve">National/state level trainings workshops  </v>
      </c>
      <c r="C45" s="773"/>
      <c r="D45" s="773"/>
      <c r="E45" s="773"/>
      <c r="F45" s="773"/>
      <c r="G45" s="773"/>
      <c r="H45" s="773"/>
      <c r="I45" s="791"/>
      <c r="J45" s="95"/>
      <c r="K45" s="820" t="s">
        <v>26</v>
      </c>
      <c r="L45" s="820"/>
      <c r="M45" s="820"/>
      <c r="N45" s="820"/>
      <c r="O45" s="518" t="str">
        <f>O38</f>
        <v>Year 1</v>
      </c>
      <c r="P45" s="821" t="s">
        <v>27</v>
      </c>
      <c r="Q45" s="821"/>
      <c r="R45" s="821"/>
      <c r="S45" s="821"/>
      <c r="T45" s="11" t="str">
        <f>T38</f>
        <v>Year 2</v>
      </c>
      <c r="U45" s="821" t="s">
        <v>28</v>
      </c>
      <c r="V45" s="821"/>
      <c r="W45" s="821"/>
      <c r="X45" s="821"/>
      <c r="Y45" s="12" t="str">
        <f>Y30</f>
        <v>Year 3</v>
      </c>
      <c r="Z45" s="13" t="s">
        <v>19</v>
      </c>
    </row>
    <row r="46" spans="2:26" x14ac:dyDescent="0.3">
      <c r="B46" s="3"/>
      <c r="C46" s="3" t="s">
        <v>49</v>
      </c>
      <c r="D46" s="3" t="s">
        <v>50</v>
      </c>
      <c r="E46" s="3" t="s">
        <v>57</v>
      </c>
      <c r="F46" s="3" t="s">
        <v>58</v>
      </c>
      <c r="G46" s="3" t="s">
        <v>53</v>
      </c>
      <c r="H46" s="3" t="s">
        <v>54</v>
      </c>
      <c r="I46" s="464" t="s">
        <v>55</v>
      </c>
      <c r="J46" s="95"/>
      <c r="K46" s="464" t="s">
        <v>36</v>
      </c>
      <c r="L46" s="464" t="s">
        <v>37</v>
      </c>
      <c r="M46" s="464" t="s">
        <v>38</v>
      </c>
      <c r="N46" s="464" t="s">
        <v>39</v>
      </c>
      <c r="O46" s="12" t="s">
        <v>9</v>
      </c>
      <c r="P46" s="12" t="s">
        <v>36</v>
      </c>
      <c r="Q46" s="12" t="s">
        <v>37</v>
      </c>
      <c r="R46" s="12" t="s">
        <v>38</v>
      </c>
      <c r="S46" s="12" t="s">
        <v>39</v>
      </c>
      <c r="T46" s="12" t="s">
        <v>9</v>
      </c>
      <c r="U46" s="12" t="s">
        <v>36</v>
      </c>
      <c r="V46" s="12" t="s">
        <v>37</v>
      </c>
      <c r="W46" s="12" t="s">
        <v>38</v>
      </c>
      <c r="X46" s="12" t="s">
        <v>39</v>
      </c>
      <c r="Y46" s="12" t="s">
        <v>9</v>
      </c>
      <c r="Z46" s="13"/>
    </row>
    <row r="47" spans="2:26" x14ac:dyDescent="0.3">
      <c r="B47" s="51" t="s">
        <v>46</v>
      </c>
      <c r="C47" s="66" t="str">
        <f>C24</f>
        <v xml:space="preserve">National/state level trainings workshops  </v>
      </c>
      <c r="D47" s="3"/>
      <c r="E47" s="3"/>
      <c r="F47" s="3"/>
      <c r="G47" s="3"/>
      <c r="H47" s="3"/>
      <c r="I47" s="464"/>
      <c r="J47" s="95"/>
      <c r="K47" s="464"/>
      <c r="L47" s="468"/>
      <c r="M47" s="464"/>
      <c r="N47" s="464"/>
      <c r="O47" s="12">
        <f>K47+L47+M47+N47</f>
        <v>0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3"/>
    </row>
    <row r="48" spans="2:26" x14ac:dyDescent="0.3">
      <c r="B48" s="3"/>
      <c r="C48" s="3" t="str">
        <f>C25</f>
        <v>National Level Workshop</v>
      </c>
      <c r="D48" s="464">
        <f>K105</f>
        <v>23750</v>
      </c>
      <c r="E48" s="464">
        <v>40</v>
      </c>
      <c r="F48" s="464">
        <v>2</v>
      </c>
      <c r="G48" s="16">
        <v>1</v>
      </c>
      <c r="H48" s="89">
        <f>D48*E48*F48*G48</f>
        <v>1900000</v>
      </c>
      <c r="I48" s="464">
        <f>H48/54</f>
        <v>35185.185185185182</v>
      </c>
      <c r="J48" s="95"/>
      <c r="K48" s="464"/>
      <c r="L48" s="89">
        <f>I48*L25</f>
        <v>35185.185185185182</v>
      </c>
      <c r="M48" s="89"/>
      <c r="N48" s="468">
        <f>I48*N25</f>
        <v>0</v>
      </c>
      <c r="O48" s="12">
        <f>K48+L48+M48+N48</f>
        <v>35185.185185185182</v>
      </c>
      <c r="P48" s="17">
        <f>I48*P25</f>
        <v>0</v>
      </c>
      <c r="Q48" s="17">
        <f>I48*Q25*1.1</f>
        <v>38703.703703703701</v>
      </c>
      <c r="R48" s="17">
        <f>I48*S25</f>
        <v>0</v>
      </c>
      <c r="S48" s="12"/>
      <c r="T48" s="12">
        <f>P48+Q48+R48+S48</f>
        <v>38703.703703703701</v>
      </c>
      <c r="U48" s="17">
        <f>I48*U25</f>
        <v>0</v>
      </c>
      <c r="V48" s="12">
        <f>Q48*1.1</f>
        <v>42574.074074074073</v>
      </c>
      <c r="W48" s="12"/>
      <c r="X48" s="12"/>
      <c r="Y48" s="12">
        <f>U48+V48+W48+X48</f>
        <v>42574.074074074073</v>
      </c>
      <c r="Z48" s="13">
        <f>O48+T48+Y48</f>
        <v>116462.96296296295</v>
      </c>
    </row>
    <row r="49" spans="2:26" x14ac:dyDescent="0.3">
      <c r="B49" s="3"/>
      <c r="C49" s="3" t="str">
        <f>C26</f>
        <v>State Level Workshop</v>
      </c>
      <c r="D49" s="464">
        <f>K129</f>
        <v>11175</v>
      </c>
      <c r="E49" s="464">
        <v>50</v>
      </c>
      <c r="F49" s="464">
        <v>2</v>
      </c>
      <c r="G49" s="16">
        <v>1</v>
      </c>
      <c r="H49" s="89">
        <f>D49*E49*F49*G49</f>
        <v>1117500</v>
      </c>
      <c r="I49" s="464">
        <f>H49/54</f>
        <v>20694.444444444445</v>
      </c>
      <c r="J49" s="95"/>
      <c r="K49" s="464"/>
      <c r="L49" s="89"/>
      <c r="M49" s="89">
        <f>I49*M26</f>
        <v>62083.333333333336</v>
      </c>
      <c r="N49" s="464"/>
      <c r="O49" s="12">
        <f>K49+L49+M49+N49</f>
        <v>62083.333333333336</v>
      </c>
      <c r="P49" s="17">
        <f>I49*P26</f>
        <v>0</v>
      </c>
      <c r="Q49" s="12"/>
      <c r="R49" s="17">
        <f>I49*R26*1.1</f>
        <v>68291.666666666672</v>
      </c>
      <c r="S49" s="17">
        <f>I49*S26</f>
        <v>0</v>
      </c>
      <c r="T49" s="12">
        <f>P49+Q49+R49+S49</f>
        <v>68291.666666666672</v>
      </c>
      <c r="U49" s="17">
        <f>I49*U26</f>
        <v>0</v>
      </c>
      <c r="V49" s="12"/>
      <c r="W49" s="12">
        <f>R49*1.1</f>
        <v>75120.833333333343</v>
      </c>
      <c r="X49" s="12"/>
      <c r="Y49" s="12">
        <f>U49+V49+W49+X49</f>
        <v>75120.833333333343</v>
      </c>
      <c r="Z49" s="13">
        <f>O49+T49+Y49</f>
        <v>205495.83333333334</v>
      </c>
    </row>
    <row r="50" spans="2:26" x14ac:dyDescent="0.3">
      <c r="B50" s="18"/>
      <c r="C50" s="18" t="s">
        <v>56</v>
      </c>
      <c r="D50" s="18"/>
      <c r="E50" s="18"/>
      <c r="F50" s="18"/>
      <c r="G50" s="18"/>
      <c r="H50" s="164">
        <f>SUM(H48:H49)</f>
        <v>3017500</v>
      </c>
      <c r="I50" s="467">
        <f>H50/54</f>
        <v>55879.629629629628</v>
      </c>
      <c r="J50" s="95"/>
      <c r="K50" s="467">
        <f>K48+K49</f>
        <v>0</v>
      </c>
      <c r="L50" s="467">
        <f t="shared" ref="L50:Z50" si="6">L48+L49</f>
        <v>35185.185185185182</v>
      </c>
      <c r="M50" s="467">
        <f t="shared" si="6"/>
        <v>62083.333333333336</v>
      </c>
      <c r="N50" s="467">
        <f t="shared" si="6"/>
        <v>0</v>
      </c>
      <c r="O50" s="15">
        <f t="shared" si="6"/>
        <v>97268.518518518511</v>
      </c>
      <c r="P50" s="15">
        <f t="shared" si="6"/>
        <v>0</v>
      </c>
      <c r="Q50" s="15">
        <f t="shared" si="6"/>
        <v>38703.703703703701</v>
      </c>
      <c r="R50" s="15">
        <f t="shared" si="6"/>
        <v>68291.666666666672</v>
      </c>
      <c r="S50" s="15">
        <f t="shared" si="6"/>
        <v>0</v>
      </c>
      <c r="T50" s="15">
        <f t="shared" si="6"/>
        <v>106995.37037037036</v>
      </c>
      <c r="U50" s="15">
        <f t="shared" si="6"/>
        <v>0</v>
      </c>
      <c r="V50" s="15">
        <f t="shared" si="6"/>
        <v>42574.074074074073</v>
      </c>
      <c r="W50" s="15">
        <f t="shared" si="6"/>
        <v>75120.833333333343</v>
      </c>
      <c r="X50" s="15">
        <f t="shared" si="6"/>
        <v>0</v>
      </c>
      <c r="Y50" s="15">
        <f t="shared" si="6"/>
        <v>117694.90740740742</v>
      </c>
      <c r="Z50" s="15">
        <f t="shared" si="6"/>
        <v>321958.79629629629</v>
      </c>
    </row>
    <row r="53" spans="2:26" x14ac:dyDescent="0.3">
      <c r="B53" s="3"/>
      <c r="C53" s="3" t="s">
        <v>59</v>
      </c>
      <c r="D53" s="3"/>
      <c r="E53" s="3"/>
      <c r="F53" s="3"/>
      <c r="G53" s="3"/>
      <c r="H53" s="3"/>
      <c r="I53" s="464"/>
      <c r="J53" s="3"/>
      <c r="K53" s="3"/>
      <c r="L53" s="3"/>
      <c r="M53" s="3"/>
      <c r="N53" s="3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26" x14ac:dyDescent="0.3">
      <c r="B54" s="3"/>
      <c r="C54" s="3"/>
      <c r="D54" s="3"/>
      <c r="E54" s="3"/>
      <c r="F54" s="3"/>
      <c r="G54" s="3"/>
      <c r="H54" s="3"/>
      <c r="I54" s="464"/>
      <c r="J54" s="3"/>
      <c r="K54" s="822" t="s">
        <v>26</v>
      </c>
      <c r="L54" s="823"/>
      <c r="M54" s="823"/>
      <c r="N54" s="824"/>
      <c r="O54" s="21"/>
      <c r="P54" s="825" t="s">
        <v>27</v>
      </c>
      <c r="Q54" s="826"/>
      <c r="R54" s="826"/>
      <c r="S54" s="827"/>
      <c r="T54" s="22"/>
      <c r="U54" s="825" t="s">
        <v>28</v>
      </c>
      <c r="V54" s="826"/>
      <c r="W54" s="826"/>
      <c r="X54" s="827"/>
      <c r="Y54" s="14"/>
      <c r="Z54" s="13" t="s">
        <v>19</v>
      </c>
    </row>
    <row r="55" spans="2:26" x14ac:dyDescent="0.3">
      <c r="B55" s="3"/>
      <c r="C55" s="3"/>
      <c r="D55" s="3"/>
      <c r="E55" s="3"/>
      <c r="F55" s="3"/>
      <c r="G55" s="3"/>
      <c r="H55" s="3"/>
      <c r="I55" s="464"/>
      <c r="J55" s="3"/>
      <c r="K55" s="464" t="s">
        <v>36</v>
      </c>
      <c r="L55" s="464" t="s">
        <v>37</v>
      </c>
      <c r="M55" s="464" t="s">
        <v>38</v>
      </c>
      <c r="N55" s="464" t="s">
        <v>39</v>
      </c>
      <c r="O55" s="14" t="s">
        <v>9</v>
      </c>
      <c r="P55" s="14" t="s">
        <v>36</v>
      </c>
      <c r="Q55" s="14" t="s">
        <v>37</v>
      </c>
      <c r="R55" s="14" t="s">
        <v>38</v>
      </c>
      <c r="S55" s="14" t="s">
        <v>39</v>
      </c>
      <c r="T55" s="14" t="s">
        <v>9</v>
      </c>
      <c r="U55" s="14" t="s">
        <v>36</v>
      </c>
      <c r="V55" s="14" t="s">
        <v>37</v>
      </c>
      <c r="W55" s="14" t="s">
        <v>38</v>
      </c>
      <c r="X55" s="14" t="s">
        <v>39</v>
      </c>
      <c r="Y55" s="23" t="s">
        <v>9</v>
      </c>
      <c r="Z55" s="13"/>
    </row>
    <row r="56" spans="2:26" x14ac:dyDescent="0.3">
      <c r="B56" s="24" t="str">
        <f>B32</f>
        <v>4.1.1</v>
      </c>
      <c r="C56" s="24" t="str">
        <f>C32</f>
        <v xml:space="preserve">Human resources at the National level (4 technical/medical officers at national level; 3 program assistant and 4 data support staff) </v>
      </c>
      <c r="D56" s="3"/>
      <c r="E56" s="3"/>
      <c r="F56" s="3"/>
      <c r="G56" s="3"/>
      <c r="H56" s="3"/>
      <c r="I56" s="464"/>
      <c r="J56" s="3"/>
      <c r="K56" s="24">
        <f t="shared" ref="K56:Z56" si="7">K36</f>
        <v>58755.555555555555</v>
      </c>
      <c r="L56" s="24">
        <f t="shared" si="7"/>
        <v>58755.555555555555</v>
      </c>
      <c r="M56" s="24">
        <f t="shared" si="7"/>
        <v>58755.555555555555</v>
      </c>
      <c r="N56" s="24">
        <f t="shared" si="7"/>
        <v>58755.555555555555</v>
      </c>
      <c r="O56" s="25">
        <f t="shared" si="7"/>
        <v>235022.22222222222</v>
      </c>
      <c r="P56" s="25">
        <f t="shared" si="7"/>
        <v>64631.111111111117</v>
      </c>
      <c r="Q56" s="25">
        <f t="shared" si="7"/>
        <v>64631.111111111117</v>
      </c>
      <c r="R56" s="25">
        <f t="shared" si="7"/>
        <v>64631.111111111117</v>
      </c>
      <c r="S56" s="25">
        <f t="shared" si="7"/>
        <v>64631.111111111117</v>
      </c>
      <c r="T56" s="25">
        <f t="shared" si="7"/>
        <v>258524.44444444447</v>
      </c>
      <c r="U56" s="25">
        <f t="shared" si="7"/>
        <v>71094.222222222234</v>
      </c>
      <c r="V56" s="25">
        <f t="shared" si="7"/>
        <v>71094.222222222234</v>
      </c>
      <c r="W56" s="25">
        <f t="shared" si="7"/>
        <v>71094.222222222234</v>
      </c>
      <c r="X56" s="25">
        <f t="shared" si="7"/>
        <v>71094.222222222234</v>
      </c>
      <c r="Y56" s="25">
        <f t="shared" si="7"/>
        <v>284376.88888888893</v>
      </c>
      <c r="Z56" s="13">
        <f t="shared" si="7"/>
        <v>777923.55555555574</v>
      </c>
    </row>
    <row r="57" spans="2:26" x14ac:dyDescent="0.3">
      <c r="B57" s="3" t="s">
        <v>30</v>
      </c>
      <c r="C57" s="3" t="str">
        <f>C40</f>
        <v>Strengthening  laboratories for VPD surveillance</v>
      </c>
      <c r="D57" s="3"/>
      <c r="E57" s="3"/>
      <c r="F57" s="3"/>
      <c r="G57" s="3"/>
      <c r="H57" s="3"/>
      <c r="I57" s="464"/>
      <c r="J57" s="3"/>
      <c r="K57" s="24">
        <f t="shared" ref="K57:Z57" si="8">K43</f>
        <v>109999.99999999999</v>
      </c>
      <c r="L57" s="24">
        <f t="shared" si="8"/>
        <v>0</v>
      </c>
      <c r="M57" s="24">
        <f t="shared" si="8"/>
        <v>0</v>
      </c>
      <c r="N57" s="24">
        <f t="shared" si="8"/>
        <v>0</v>
      </c>
      <c r="O57" s="25">
        <f t="shared" si="8"/>
        <v>109999.99999999999</v>
      </c>
      <c r="P57" s="25">
        <f t="shared" si="8"/>
        <v>158000</v>
      </c>
      <c r="Q57" s="25">
        <f t="shared" si="8"/>
        <v>0</v>
      </c>
      <c r="R57" s="25">
        <f t="shared" si="8"/>
        <v>0</v>
      </c>
      <c r="S57" s="25">
        <f t="shared" si="8"/>
        <v>0</v>
      </c>
      <c r="T57" s="25">
        <f t="shared" si="8"/>
        <v>158000</v>
      </c>
      <c r="U57" s="25">
        <f t="shared" si="8"/>
        <v>215200</v>
      </c>
      <c r="V57" s="25">
        <f t="shared" si="8"/>
        <v>0</v>
      </c>
      <c r="W57" s="25">
        <f t="shared" si="8"/>
        <v>0</v>
      </c>
      <c r="X57" s="25">
        <f t="shared" si="8"/>
        <v>0</v>
      </c>
      <c r="Y57" s="25">
        <f t="shared" si="8"/>
        <v>215200</v>
      </c>
      <c r="Z57" s="13">
        <f t="shared" si="8"/>
        <v>483199.99999999994</v>
      </c>
    </row>
    <row r="58" spans="2:26" x14ac:dyDescent="0.3">
      <c r="B58" s="3" t="s">
        <v>60</v>
      </c>
      <c r="C58" s="3" t="str">
        <f>C47</f>
        <v xml:space="preserve">National/state level trainings workshops  </v>
      </c>
      <c r="D58" s="3"/>
      <c r="E58" s="3"/>
      <c r="F58" s="3"/>
      <c r="G58" s="3"/>
      <c r="H58" s="3"/>
      <c r="I58" s="464"/>
      <c r="J58" s="3"/>
      <c r="K58" s="24">
        <f>K50</f>
        <v>0</v>
      </c>
      <c r="L58" s="24">
        <f t="shared" ref="L58:Z58" si="9">L50</f>
        <v>35185.185185185182</v>
      </c>
      <c r="M58" s="24">
        <f t="shared" si="9"/>
        <v>62083.333333333336</v>
      </c>
      <c r="N58" s="24">
        <f t="shared" si="9"/>
        <v>0</v>
      </c>
      <c r="O58" s="25">
        <f t="shared" si="9"/>
        <v>97268.518518518511</v>
      </c>
      <c r="P58" s="25">
        <f t="shared" si="9"/>
        <v>0</v>
      </c>
      <c r="Q58" s="25">
        <f t="shared" si="9"/>
        <v>38703.703703703701</v>
      </c>
      <c r="R58" s="25">
        <f t="shared" si="9"/>
        <v>68291.666666666672</v>
      </c>
      <c r="S58" s="25">
        <f t="shared" si="9"/>
        <v>0</v>
      </c>
      <c r="T58" s="25">
        <f t="shared" si="9"/>
        <v>106995.37037037036</v>
      </c>
      <c r="U58" s="25">
        <f t="shared" si="9"/>
        <v>0</v>
      </c>
      <c r="V58" s="25">
        <f t="shared" si="9"/>
        <v>42574.074074074073</v>
      </c>
      <c r="W58" s="25">
        <f t="shared" si="9"/>
        <v>75120.833333333343</v>
      </c>
      <c r="X58" s="25">
        <f t="shared" si="9"/>
        <v>0</v>
      </c>
      <c r="Y58" s="25">
        <f t="shared" si="9"/>
        <v>117694.90740740742</v>
      </c>
      <c r="Z58" s="13">
        <f t="shared" si="9"/>
        <v>321958.79629629629</v>
      </c>
    </row>
    <row r="59" spans="2:26" x14ac:dyDescent="0.3">
      <c r="B59" s="3"/>
      <c r="C59" s="3" t="str">
        <f>C8</f>
        <v>Operational cost for these activities</v>
      </c>
      <c r="D59" s="3"/>
      <c r="E59" s="3"/>
      <c r="F59" s="3"/>
      <c r="G59" s="3"/>
      <c r="H59" s="3"/>
      <c r="I59" s="464"/>
      <c r="J59" s="3"/>
      <c r="K59" s="24">
        <v>100000</v>
      </c>
      <c r="L59" s="24">
        <v>100000</v>
      </c>
      <c r="M59" s="24">
        <v>100000</v>
      </c>
      <c r="N59" s="24">
        <v>100000</v>
      </c>
      <c r="O59" s="25">
        <f>K59+L59+M59+N59</f>
        <v>400000</v>
      </c>
      <c r="P59" s="25">
        <f>350000/4</f>
        <v>87500</v>
      </c>
      <c r="Q59" s="25">
        <f>350000/4</f>
        <v>87500</v>
      </c>
      <c r="R59" s="25">
        <f>350000/4</f>
        <v>87500</v>
      </c>
      <c r="S59" s="25">
        <f>350000/4</f>
        <v>87500</v>
      </c>
      <c r="T59" s="25">
        <f>P59+Q59+R59+S59</f>
        <v>350000</v>
      </c>
      <c r="U59" s="25">
        <f>350000/4</f>
        <v>87500</v>
      </c>
      <c r="V59" s="25">
        <f>350000/4</f>
        <v>87500</v>
      </c>
      <c r="W59" s="25">
        <f>350000/4</f>
        <v>87500</v>
      </c>
      <c r="X59" s="25">
        <f>350000/4</f>
        <v>87500</v>
      </c>
      <c r="Y59" s="25">
        <f>U59+V59+W59+X59</f>
        <v>350000</v>
      </c>
      <c r="Z59" s="13">
        <f>O59+T59+Y59</f>
        <v>1100000</v>
      </c>
    </row>
    <row r="60" spans="2:26" x14ac:dyDescent="0.3">
      <c r="B60" s="3"/>
      <c r="C60" s="484" t="s">
        <v>59</v>
      </c>
      <c r="D60" s="484"/>
      <c r="E60" s="484"/>
      <c r="F60" s="484"/>
      <c r="G60" s="484"/>
      <c r="H60" s="484"/>
      <c r="I60" s="485"/>
      <c r="J60" s="484"/>
      <c r="K60" s="486">
        <f>K56+K57+K58+K59</f>
        <v>268755.5555555555</v>
      </c>
      <c r="L60" s="486">
        <f t="shared" ref="L60:Z60" si="10">L56+L57+L58+L59</f>
        <v>193940.74074074073</v>
      </c>
      <c r="M60" s="486">
        <f t="shared" si="10"/>
        <v>220838.88888888888</v>
      </c>
      <c r="N60" s="486">
        <f t="shared" si="10"/>
        <v>158755.55555555556</v>
      </c>
      <c r="O60" s="486">
        <f t="shared" si="10"/>
        <v>842290.74074074067</v>
      </c>
      <c r="P60" s="486">
        <f t="shared" si="10"/>
        <v>310131.11111111112</v>
      </c>
      <c r="Q60" s="486">
        <f t="shared" si="10"/>
        <v>190834.81481481483</v>
      </c>
      <c r="R60" s="486">
        <f t="shared" si="10"/>
        <v>220422.77777777778</v>
      </c>
      <c r="S60" s="486">
        <f t="shared" si="10"/>
        <v>152131.11111111112</v>
      </c>
      <c r="T60" s="486">
        <f t="shared" si="10"/>
        <v>873519.81481481483</v>
      </c>
      <c r="U60" s="486">
        <f t="shared" si="10"/>
        <v>373794.22222222225</v>
      </c>
      <c r="V60" s="486">
        <f t="shared" si="10"/>
        <v>201168.29629629629</v>
      </c>
      <c r="W60" s="486">
        <f t="shared" si="10"/>
        <v>233715.05555555556</v>
      </c>
      <c r="X60" s="486">
        <f t="shared" si="10"/>
        <v>158594.22222222225</v>
      </c>
      <c r="Y60" s="486">
        <f t="shared" si="10"/>
        <v>967271.79629629641</v>
      </c>
      <c r="Z60" s="486">
        <f t="shared" si="10"/>
        <v>2683082.3518518521</v>
      </c>
    </row>
    <row r="61" spans="2:26" x14ac:dyDescent="0.3">
      <c r="B61" s="586"/>
      <c r="C61" s="586"/>
      <c r="D61" s="586"/>
      <c r="E61" s="586"/>
      <c r="F61" s="586"/>
      <c r="G61" s="586"/>
      <c r="H61" s="586"/>
      <c r="I61" s="587"/>
      <c r="J61" s="586"/>
      <c r="K61" s="586"/>
      <c r="L61" s="586"/>
      <c r="M61" s="586"/>
      <c r="N61" s="586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</row>
    <row r="62" spans="2:26" x14ac:dyDescent="0.3">
      <c r="B62" s="4"/>
      <c r="C62" s="4"/>
      <c r="D62" s="4"/>
      <c r="E62" s="4"/>
      <c r="F62" s="4"/>
      <c r="G62" s="4"/>
      <c r="H62" s="4"/>
      <c r="I62" s="469"/>
      <c r="J62" s="4"/>
      <c r="K62" s="4"/>
      <c r="L62" s="4"/>
      <c r="M62" s="4"/>
      <c r="N62" s="4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</row>
    <row r="63" spans="2:26" x14ac:dyDescent="0.3">
      <c r="B63" s="828" t="s">
        <v>61</v>
      </c>
      <c r="C63" s="828"/>
      <c r="D63" s="828"/>
      <c r="E63" s="828"/>
      <c r="F63" s="539"/>
      <c r="G63" s="539"/>
      <c r="H63" s="539"/>
    </row>
    <row r="64" spans="2:26" x14ac:dyDescent="0.3">
      <c r="B64" s="829" t="str">
        <f>C41</f>
        <v>Procurement of Equipment</v>
      </c>
      <c r="C64" s="830"/>
      <c r="D64" s="830"/>
      <c r="E64" s="831"/>
    </row>
    <row r="65" spans="2:5" x14ac:dyDescent="0.3">
      <c r="B65" s="487"/>
      <c r="C65" s="488"/>
      <c r="D65" s="487"/>
      <c r="E65" s="488"/>
    </row>
    <row r="66" spans="2:5" x14ac:dyDescent="0.3">
      <c r="B66" s="489" t="s">
        <v>62</v>
      </c>
      <c r="C66" s="490" t="s">
        <v>63</v>
      </c>
      <c r="D66" s="489" t="s">
        <v>64</v>
      </c>
      <c r="E66" s="491" t="s">
        <v>65</v>
      </c>
    </row>
    <row r="67" spans="2:5" x14ac:dyDescent="0.3">
      <c r="B67" s="492">
        <v>1</v>
      </c>
      <c r="C67" s="491" t="s">
        <v>66</v>
      </c>
      <c r="D67" s="492">
        <v>9050</v>
      </c>
      <c r="E67" s="491">
        <f>D67*54</f>
        <v>488700</v>
      </c>
    </row>
    <row r="68" spans="2:5" x14ac:dyDescent="0.3">
      <c r="B68" s="492">
        <v>2</v>
      </c>
      <c r="C68" s="491" t="s">
        <v>67</v>
      </c>
      <c r="D68" s="492">
        <v>2000</v>
      </c>
      <c r="E68" s="491">
        <f t="shared" ref="E68:E79" si="11">D68*54</f>
        <v>108000</v>
      </c>
    </row>
    <row r="69" spans="2:5" x14ac:dyDescent="0.3">
      <c r="B69" s="492">
        <v>3</v>
      </c>
      <c r="C69" s="491" t="s">
        <v>68</v>
      </c>
      <c r="D69" s="492">
        <v>5887</v>
      </c>
      <c r="E69" s="491">
        <f t="shared" si="11"/>
        <v>317898</v>
      </c>
    </row>
    <row r="70" spans="2:5" x14ac:dyDescent="0.3">
      <c r="B70" s="492">
        <v>4</v>
      </c>
      <c r="C70" s="491" t="s">
        <v>69</v>
      </c>
      <c r="D70" s="492">
        <v>2200</v>
      </c>
      <c r="E70" s="491">
        <f t="shared" si="11"/>
        <v>118800</v>
      </c>
    </row>
    <row r="71" spans="2:5" x14ac:dyDescent="0.3">
      <c r="B71" s="492">
        <v>5</v>
      </c>
      <c r="C71" s="491" t="s">
        <v>70</v>
      </c>
      <c r="D71" s="492">
        <v>9000</v>
      </c>
      <c r="E71" s="491">
        <f t="shared" si="11"/>
        <v>486000</v>
      </c>
    </row>
    <row r="72" spans="2:5" x14ac:dyDescent="0.3">
      <c r="B72" s="492">
        <v>6</v>
      </c>
      <c r="C72" s="491" t="s">
        <v>71</v>
      </c>
      <c r="D72" s="492">
        <v>4000</v>
      </c>
      <c r="E72" s="491">
        <f t="shared" si="11"/>
        <v>216000</v>
      </c>
    </row>
    <row r="73" spans="2:5" x14ac:dyDescent="0.3">
      <c r="B73" s="492">
        <v>7</v>
      </c>
      <c r="C73" s="491" t="s">
        <v>72</v>
      </c>
      <c r="D73" s="492">
        <v>900</v>
      </c>
      <c r="E73" s="491">
        <f t="shared" si="11"/>
        <v>48600</v>
      </c>
    </row>
    <row r="74" spans="2:5" x14ac:dyDescent="0.3">
      <c r="B74" s="492">
        <v>8</v>
      </c>
      <c r="C74" s="491" t="s">
        <v>73</v>
      </c>
      <c r="D74" s="492">
        <v>4000</v>
      </c>
      <c r="E74" s="491">
        <f t="shared" si="11"/>
        <v>216000</v>
      </c>
    </row>
    <row r="75" spans="2:5" x14ac:dyDescent="0.3">
      <c r="B75" s="492">
        <v>9</v>
      </c>
      <c r="C75" s="493" t="s">
        <v>74</v>
      </c>
      <c r="D75" s="492">
        <v>1000</v>
      </c>
      <c r="E75" s="491">
        <f t="shared" si="11"/>
        <v>54000</v>
      </c>
    </row>
    <row r="76" spans="2:5" x14ac:dyDescent="0.3">
      <c r="B76" s="492">
        <v>10</v>
      </c>
      <c r="C76" s="491" t="s">
        <v>75</v>
      </c>
      <c r="D76" s="492">
        <v>1000</v>
      </c>
      <c r="E76" s="491">
        <f t="shared" si="11"/>
        <v>54000</v>
      </c>
    </row>
    <row r="77" spans="2:5" x14ac:dyDescent="0.3">
      <c r="B77" s="492">
        <v>11</v>
      </c>
      <c r="C77" s="491" t="s">
        <v>76</v>
      </c>
      <c r="D77" s="492">
        <v>1250</v>
      </c>
      <c r="E77" s="491">
        <f t="shared" si="11"/>
        <v>67500</v>
      </c>
    </row>
    <row r="78" spans="2:5" x14ac:dyDescent="0.3">
      <c r="B78" s="492">
        <v>12</v>
      </c>
      <c r="C78" s="491" t="s">
        <v>77</v>
      </c>
      <c r="D78" s="492">
        <v>9500</v>
      </c>
      <c r="E78" s="491">
        <f t="shared" si="11"/>
        <v>513000</v>
      </c>
    </row>
    <row r="79" spans="2:5" x14ac:dyDescent="0.3">
      <c r="B79" s="492">
        <v>13</v>
      </c>
      <c r="C79" s="491" t="s">
        <v>78</v>
      </c>
      <c r="D79" s="492">
        <v>213</v>
      </c>
      <c r="E79" s="491">
        <f t="shared" si="11"/>
        <v>11502</v>
      </c>
    </row>
    <row r="80" spans="2:5" x14ac:dyDescent="0.3">
      <c r="B80" s="487"/>
      <c r="C80" s="488" t="s">
        <v>9</v>
      </c>
      <c r="D80" s="487">
        <f>SUM(D67:D79)</f>
        <v>50000</v>
      </c>
      <c r="E80" s="540">
        <f>SUM(E67:E79)</f>
        <v>2700000</v>
      </c>
    </row>
    <row r="81" spans="1:12" x14ac:dyDescent="0.3">
      <c r="B81" s="494"/>
      <c r="C81" s="495">
        <v>0.7</v>
      </c>
      <c r="D81" s="494">
        <f>D80*70%</f>
        <v>35000</v>
      </c>
      <c r="E81" s="496">
        <f>E80*70%</f>
        <v>1889999.9999999998</v>
      </c>
    </row>
    <row r="83" spans="1:12" x14ac:dyDescent="0.3">
      <c r="A83" s="772" t="s">
        <v>478</v>
      </c>
      <c r="B83" s="773"/>
      <c r="C83" s="773"/>
      <c r="D83" s="773"/>
      <c r="E83" s="773"/>
      <c r="F83" s="773"/>
      <c r="G83" s="773"/>
      <c r="H83" s="773"/>
      <c r="I83" s="773"/>
      <c r="J83" s="773"/>
      <c r="K83" s="458"/>
      <c r="L83" s="458"/>
    </row>
    <row r="84" spans="1:12" x14ac:dyDescent="0.3">
      <c r="A84" s="26"/>
      <c r="B84" s="26"/>
      <c r="C84" s="26" t="s">
        <v>4</v>
      </c>
      <c r="D84" s="26" t="s">
        <v>79</v>
      </c>
      <c r="E84" s="26" t="s">
        <v>80</v>
      </c>
      <c r="F84" s="26" t="s">
        <v>50</v>
      </c>
      <c r="G84" s="26" t="s">
        <v>57</v>
      </c>
      <c r="H84" s="27" t="s">
        <v>53</v>
      </c>
      <c r="I84" s="28" t="s">
        <v>65</v>
      </c>
      <c r="J84" s="28" t="s">
        <v>81</v>
      </c>
      <c r="K84" s="458"/>
      <c r="L84" s="458"/>
    </row>
    <row r="85" spans="1:12" x14ac:dyDescent="0.3">
      <c r="A85" s="774" t="s">
        <v>82</v>
      </c>
      <c r="B85" s="775"/>
      <c r="C85" s="775"/>
      <c r="D85" s="776"/>
      <c r="E85" s="107"/>
      <c r="F85" s="107"/>
      <c r="G85" s="107"/>
      <c r="H85" s="108"/>
      <c r="I85" s="107"/>
      <c r="J85" s="107"/>
      <c r="K85" s="458"/>
      <c r="L85" s="458"/>
    </row>
    <row r="86" spans="1:12" x14ac:dyDescent="0.3">
      <c r="A86" s="3">
        <v>1</v>
      </c>
      <c r="B86" s="3" t="s">
        <v>83</v>
      </c>
      <c r="C86" s="3"/>
      <c r="D86" s="3"/>
      <c r="E86" s="3"/>
      <c r="F86" s="3"/>
      <c r="G86" s="3"/>
      <c r="H86" s="16"/>
      <c r="I86" s="3"/>
      <c r="J86" s="3"/>
      <c r="K86" s="458"/>
      <c r="L86" s="458"/>
    </row>
    <row r="87" spans="1:12" x14ac:dyDescent="0.3">
      <c r="A87" s="3"/>
      <c r="B87" s="3" t="s">
        <v>84</v>
      </c>
      <c r="C87" s="3"/>
      <c r="D87" s="3" t="s">
        <v>85</v>
      </c>
      <c r="E87" s="3"/>
      <c r="F87" s="470">
        <v>50000</v>
      </c>
      <c r="G87" s="3">
        <v>4</v>
      </c>
      <c r="H87" s="16">
        <v>1</v>
      </c>
      <c r="I87" s="24">
        <f>E87*F87*G87*H87</f>
        <v>0</v>
      </c>
      <c r="J87" s="112">
        <f t="shared" ref="J87:J92" si="12">I87/54</f>
        <v>0</v>
      </c>
      <c r="K87" s="458"/>
      <c r="L87" s="458"/>
    </row>
    <row r="88" spans="1:12" x14ac:dyDescent="0.3">
      <c r="A88" s="3"/>
      <c r="B88" s="3" t="s">
        <v>86</v>
      </c>
      <c r="C88" s="3" t="s">
        <v>87</v>
      </c>
      <c r="D88" s="3"/>
      <c r="E88" s="3"/>
      <c r="F88" s="470"/>
      <c r="G88" s="3"/>
      <c r="H88" s="16"/>
      <c r="I88" s="3"/>
      <c r="J88" s="112">
        <f t="shared" si="12"/>
        <v>0</v>
      </c>
      <c r="K88" s="458"/>
      <c r="L88" s="458"/>
    </row>
    <row r="89" spans="1:12" x14ac:dyDescent="0.3">
      <c r="A89" s="3"/>
      <c r="B89" s="3"/>
      <c r="C89" s="3" t="s">
        <v>88</v>
      </c>
      <c r="D89" s="3"/>
      <c r="E89" s="79"/>
      <c r="F89" s="470">
        <v>100000</v>
      </c>
      <c r="G89" s="3">
        <v>1</v>
      </c>
      <c r="H89" s="16">
        <v>1</v>
      </c>
      <c r="I89" s="24">
        <f>E89*F89*G89*H89</f>
        <v>0</v>
      </c>
      <c r="J89" s="112">
        <f t="shared" si="12"/>
        <v>0</v>
      </c>
      <c r="K89" s="458"/>
      <c r="L89" s="458"/>
    </row>
    <row r="90" spans="1:12" x14ac:dyDescent="0.3">
      <c r="A90" s="3"/>
      <c r="B90" s="3"/>
      <c r="C90" s="3" t="s">
        <v>89</v>
      </c>
      <c r="D90" s="3"/>
      <c r="E90" s="79"/>
      <c r="F90" s="470">
        <v>2500</v>
      </c>
      <c r="G90" s="3">
        <v>4</v>
      </c>
      <c r="H90" s="16">
        <v>1</v>
      </c>
      <c r="I90" s="24">
        <f>E90*F90*G90*H90</f>
        <v>0</v>
      </c>
      <c r="J90" s="112">
        <f t="shared" si="12"/>
        <v>0</v>
      </c>
      <c r="K90" s="458"/>
      <c r="L90" s="458"/>
    </row>
    <row r="91" spans="1:12" x14ac:dyDescent="0.3">
      <c r="A91" s="3"/>
      <c r="B91" s="3"/>
      <c r="C91" s="3" t="s">
        <v>90</v>
      </c>
      <c r="D91" s="3"/>
      <c r="E91" s="79"/>
      <c r="F91" s="470">
        <v>10000</v>
      </c>
      <c r="G91" s="3">
        <v>4</v>
      </c>
      <c r="H91" s="16">
        <v>1</v>
      </c>
      <c r="I91" s="24">
        <f>E91*F91*G91*H91</f>
        <v>0</v>
      </c>
      <c r="J91" s="112">
        <f t="shared" si="12"/>
        <v>0</v>
      </c>
      <c r="K91" s="458"/>
      <c r="L91" s="458"/>
    </row>
    <row r="92" spans="1:12" x14ac:dyDescent="0.3">
      <c r="A92" s="3"/>
      <c r="B92" s="3"/>
      <c r="C92" s="3"/>
      <c r="D92" s="82" t="s">
        <v>10</v>
      </c>
      <c r="E92" s="82"/>
      <c r="F92" s="471"/>
      <c r="G92" s="82"/>
      <c r="H92" s="123"/>
      <c r="I92" s="121">
        <f>SUM(I87:I91)</f>
        <v>0</v>
      </c>
      <c r="J92" s="121">
        <f t="shared" si="12"/>
        <v>0</v>
      </c>
      <c r="K92" s="458"/>
      <c r="L92" s="458"/>
    </row>
    <row r="93" spans="1:12" x14ac:dyDescent="0.3">
      <c r="A93" s="96"/>
      <c r="B93" s="96"/>
      <c r="C93" s="96"/>
      <c r="D93" s="96"/>
      <c r="E93" s="96"/>
      <c r="F93" s="472"/>
      <c r="G93" s="96"/>
      <c r="H93" s="125"/>
      <c r="I93" s="126"/>
      <c r="J93" s="96"/>
      <c r="K93" s="473"/>
      <c r="L93" s="473"/>
    </row>
    <row r="94" spans="1:12" x14ac:dyDescent="0.3">
      <c r="A94" s="769" t="s">
        <v>91</v>
      </c>
      <c r="B94" s="770"/>
      <c r="C94" s="770"/>
      <c r="D94" s="771"/>
      <c r="E94" s="127"/>
      <c r="F94" s="474"/>
      <c r="G94" s="127"/>
      <c r="H94" s="129"/>
      <c r="I94" s="127"/>
      <c r="J94" s="127"/>
      <c r="K94" s="458"/>
      <c r="L94" s="458"/>
    </row>
    <row r="95" spans="1:12" x14ac:dyDescent="0.3">
      <c r="A95" s="3"/>
      <c r="B95" s="3" t="s">
        <v>92</v>
      </c>
      <c r="C95" s="3" t="s">
        <v>93</v>
      </c>
      <c r="D95" s="3"/>
      <c r="E95" s="3">
        <v>40</v>
      </c>
      <c r="F95" s="470">
        <v>1000</v>
      </c>
      <c r="G95" s="3">
        <v>2</v>
      </c>
      <c r="H95" s="16">
        <v>1</v>
      </c>
      <c r="I95" s="24">
        <f t="shared" ref="I95:I102" si="13">E95*F95*G95*H95</f>
        <v>80000</v>
      </c>
      <c r="J95" s="381">
        <f>I95/54</f>
        <v>1481.4814814814815</v>
      </c>
      <c r="K95" s="458"/>
      <c r="L95" s="458"/>
    </row>
    <row r="96" spans="1:12" x14ac:dyDescent="0.3">
      <c r="A96" s="3"/>
      <c r="B96" s="3" t="s">
        <v>86</v>
      </c>
      <c r="C96" s="3" t="s">
        <v>94</v>
      </c>
      <c r="D96" s="3"/>
      <c r="E96" s="3">
        <v>40</v>
      </c>
      <c r="F96" s="470">
        <v>25000</v>
      </c>
      <c r="G96" s="3">
        <v>1</v>
      </c>
      <c r="H96" s="16">
        <v>1</v>
      </c>
      <c r="I96" s="24">
        <f t="shared" si="13"/>
        <v>1000000</v>
      </c>
      <c r="J96" s="381">
        <f t="shared" ref="J96:J102" si="14">I96/54</f>
        <v>18518.518518518518</v>
      </c>
      <c r="K96" s="458"/>
      <c r="L96" s="458"/>
    </row>
    <row r="97" spans="1:13" x14ac:dyDescent="0.3">
      <c r="A97" s="3"/>
      <c r="B97" s="3" t="s">
        <v>95</v>
      </c>
      <c r="C97" s="3" t="s">
        <v>96</v>
      </c>
      <c r="D97" s="3"/>
      <c r="E97" s="3">
        <v>40</v>
      </c>
      <c r="F97" s="470">
        <v>5000</v>
      </c>
      <c r="G97" s="3">
        <v>3</v>
      </c>
      <c r="H97" s="16">
        <v>1</v>
      </c>
      <c r="I97" s="24">
        <f t="shared" si="13"/>
        <v>600000</v>
      </c>
      <c r="J97" s="381">
        <f t="shared" si="14"/>
        <v>11111.111111111111</v>
      </c>
      <c r="K97" s="458"/>
      <c r="L97" s="458"/>
    </row>
    <row r="98" spans="1:13" x14ac:dyDescent="0.3">
      <c r="A98" s="3"/>
      <c r="B98" s="3" t="s">
        <v>97</v>
      </c>
      <c r="C98" s="3" t="s">
        <v>98</v>
      </c>
      <c r="D98" s="3"/>
      <c r="E98" s="3">
        <v>40</v>
      </c>
      <c r="F98" s="470">
        <v>2500</v>
      </c>
      <c r="G98" s="3">
        <v>1</v>
      </c>
      <c r="H98" s="16">
        <v>1</v>
      </c>
      <c r="I98" s="24">
        <f t="shared" si="13"/>
        <v>100000</v>
      </c>
      <c r="J98" s="381">
        <f t="shared" si="14"/>
        <v>1851.851851851852</v>
      </c>
      <c r="K98" s="458"/>
      <c r="L98" s="458"/>
    </row>
    <row r="99" spans="1:13" x14ac:dyDescent="0.3">
      <c r="A99" s="3"/>
      <c r="B99" s="3" t="s">
        <v>99</v>
      </c>
      <c r="C99" s="3" t="s">
        <v>100</v>
      </c>
      <c r="D99" s="3"/>
      <c r="E99" s="3">
        <v>0</v>
      </c>
      <c r="F99" s="470">
        <v>0</v>
      </c>
      <c r="G99" s="3">
        <v>0</v>
      </c>
      <c r="H99" s="16">
        <v>1</v>
      </c>
      <c r="I99" s="24">
        <f t="shared" si="13"/>
        <v>0</v>
      </c>
      <c r="J99" s="381">
        <f t="shared" si="14"/>
        <v>0</v>
      </c>
      <c r="K99" s="458"/>
      <c r="L99" s="458"/>
    </row>
    <row r="100" spans="1:13" x14ac:dyDescent="0.3">
      <c r="A100" s="3"/>
      <c r="B100" s="3" t="s">
        <v>101</v>
      </c>
      <c r="C100" s="3" t="s">
        <v>102</v>
      </c>
      <c r="D100" s="3"/>
      <c r="E100" s="3"/>
      <c r="F100" s="470">
        <v>25000</v>
      </c>
      <c r="G100" s="3">
        <v>1</v>
      </c>
      <c r="H100" s="16">
        <v>1</v>
      </c>
      <c r="I100" s="24">
        <f t="shared" si="13"/>
        <v>0</v>
      </c>
      <c r="J100" s="381">
        <f t="shared" si="14"/>
        <v>0</v>
      </c>
      <c r="K100" s="458"/>
      <c r="L100" s="458"/>
    </row>
    <row r="101" spans="1:13" x14ac:dyDescent="0.3">
      <c r="A101" s="3"/>
      <c r="B101" s="3" t="s">
        <v>103</v>
      </c>
      <c r="C101" s="3" t="s">
        <v>104</v>
      </c>
      <c r="D101" s="3" t="s">
        <v>105</v>
      </c>
      <c r="E101" s="3">
        <v>40</v>
      </c>
      <c r="F101" s="470">
        <v>1000</v>
      </c>
      <c r="G101" s="3">
        <v>2</v>
      </c>
      <c r="H101" s="16">
        <v>1</v>
      </c>
      <c r="I101" s="24">
        <f t="shared" si="13"/>
        <v>80000</v>
      </c>
      <c r="J101" s="381">
        <f t="shared" si="14"/>
        <v>1481.4814814814815</v>
      </c>
      <c r="K101" s="458"/>
      <c r="L101" s="458"/>
    </row>
    <row r="102" spans="1:13" x14ac:dyDescent="0.3">
      <c r="A102" s="3"/>
      <c r="B102" s="3" t="s">
        <v>106</v>
      </c>
      <c r="C102" s="3" t="s">
        <v>107</v>
      </c>
      <c r="D102" s="3"/>
      <c r="E102" s="3">
        <v>40</v>
      </c>
      <c r="F102" s="470">
        <v>500</v>
      </c>
      <c r="G102" s="3">
        <v>2</v>
      </c>
      <c r="H102" s="16">
        <v>1</v>
      </c>
      <c r="I102" s="24">
        <f t="shared" si="13"/>
        <v>40000</v>
      </c>
      <c r="J102" s="381">
        <f t="shared" si="14"/>
        <v>740.74074074074076</v>
      </c>
      <c r="K102" s="458"/>
      <c r="L102" s="458"/>
    </row>
    <row r="103" spans="1:13" x14ac:dyDescent="0.3">
      <c r="A103" s="3"/>
      <c r="B103" s="3"/>
      <c r="C103" s="3"/>
      <c r="D103" s="82" t="s">
        <v>10</v>
      </c>
      <c r="E103" s="82"/>
      <c r="F103" s="471"/>
      <c r="G103" s="82"/>
      <c r="H103" s="123"/>
      <c r="I103" s="121">
        <f>SUM(I95:I102)</f>
        <v>1900000</v>
      </c>
      <c r="J103" s="121">
        <f>SUM(J95:J102)</f>
        <v>35185.185185185182</v>
      </c>
      <c r="K103" s="458"/>
      <c r="L103" s="458"/>
    </row>
    <row r="104" spans="1:13" x14ac:dyDescent="0.3">
      <c r="A104" s="3"/>
      <c r="B104" s="3"/>
      <c r="C104" s="3"/>
      <c r="D104" s="3"/>
      <c r="E104" s="3"/>
      <c r="F104" s="3"/>
      <c r="G104" s="3"/>
      <c r="H104" s="16"/>
      <c r="I104" s="3"/>
      <c r="J104" s="3"/>
      <c r="K104" s="541" t="s">
        <v>50</v>
      </c>
      <c r="L104" s="542"/>
      <c r="M104" s="95"/>
    </row>
    <row r="105" spans="1:13" x14ac:dyDescent="0.3">
      <c r="A105" s="3"/>
      <c r="B105" s="3"/>
      <c r="C105" s="3"/>
      <c r="D105" s="83" t="s">
        <v>19</v>
      </c>
      <c r="E105" s="83"/>
      <c r="F105" s="83"/>
      <c r="G105" s="83"/>
      <c r="H105" s="131"/>
      <c r="I105" s="132">
        <f>I92+I103</f>
        <v>1900000</v>
      </c>
      <c r="J105" s="132">
        <f>J92+J103</f>
        <v>35185.185185185182</v>
      </c>
      <c r="K105" s="543">
        <f>(I105/40)/2</f>
        <v>23750</v>
      </c>
      <c r="L105" s="542"/>
      <c r="M105" s="95"/>
    </row>
    <row r="106" spans="1:13" x14ac:dyDescent="0.3">
      <c r="H106" s="475"/>
      <c r="I106" s="1"/>
      <c r="K106" s="458"/>
      <c r="L106" s="473"/>
      <c r="M106" s="95"/>
    </row>
    <row r="107" spans="1:13" x14ac:dyDescent="0.3">
      <c r="A107" s="772" t="s">
        <v>479</v>
      </c>
      <c r="B107" s="773"/>
      <c r="C107" s="773"/>
      <c r="D107" s="773"/>
      <c r="E107" s="773"/>
      <c r="F107" s="773"/>
      <c r="G107" s="773"/>
      <c r="H107" s="773"/>
      <c r="I107" s="773"/>
      <c r="J107" s="773"/>
      <c r="K107" s="458"/>
      <c r="L107" s="458"/>
    </row>
    <row r="108" spans="1:13" x14ac:dyDescent="0.3">
      <c r="A108" s="26"/>
      <c r="B108" s="26"/>
      <c r="C108" s="26" t="s">
        <v>4</v>
      </c>
      <c r="D108" s="26" t="s">
        <v>79</v>
      </c>
      <c r="E108" s="26" t="s">
        <v>80</v>
      </c>
      <c r="F108" s="26" t="s">
        <v>50</v>
      </c>
      <c r="G108" s="26" t="s">
        <v>57</v>
      </c>
      <c r="H108" s="27" t="s">
        <v>53</v>
      </c>
      <c r="I108" s="28" t="s">
        <v>65</v>
      </c>
      <c r="J108" s="28" t="s">
        <v>81</v>
      </c>
      <c r="K108" s="458"/>
      <c r="L108" s="458"/>
    </row>
    <row r="109" spans="1:13" x14ac:dyDescent="0.3">
      <c r="A109" s="774"/>
      <c r="B109" s="775"/>
      <c r="C109" s="775"/>
      <c r="D109" s="776"/>
      <c r="E109" s="107"/>
      <c r="F109" s="107"/>
      <c r="G109" s="107"/>
      <c r="H109" s="108"/>
      <c r="I109" s="107"/>
      <c r="J109" s="107"/>
      <c r="K109" s="458"/>
      <c r="L109" s="458"/>
    </row>
    <row r="110" spans="1:13" x14ac:dyDescent="0.3">
      <c r="A110" s="3">
        <v>1</v>
      </c>
      <c r="B110" s="3" t="s">
        <v>108</v>
      </c>
      <c r="C110" s="3"/>
      <c r="D110" s="3"/>
      <c r="E110" s="3"/>
      <c r="F110" s="3"/>
      <c r="G110" s="3"/>
      <c r="H110" s="16"/>
      <c r="I110" s="3"/>
      <c r="J110" s="3"/>
      <c r="K110" s="458"/>
      <c r="L110" s="458"/>
    </row>
    <row r="111" spans="1:13" x14ac:dyDescent="0.3">
      <c r="A111" s="3"/>
      <c r="B111" s="3" t="s">
        <v>84</v>
      </c>
      <c r="C111" s="3"/>
      <c r="D111" s="3" t="s">
        <v>85</v>
      </c>
      <c r="E111" s="3">
        <v>0</v>
      </c>
      <c r="F111" s="470">
        <v>30000</v>
      </c>
      <c r="G111" s="3">
        <v>5</v>
      </c>
      <c r="H111" s="16">
        <v>1</v>
      </c>
      <c r="I111" s="24">
        <f>E111*F111*G111*H111</f>
        <v>0</v>
      </c>
      <c r="J111" s="112">
        <f>I111/54</f>
        <v>0</v>
      </c>
      <c r="K111" s="458"/>
      <c r="L111" s="458"/>
    </row>
    <row r="112" spans="1:13" x14ac:dyDescent="0.3">
      <c r="A112" s="3"/>
      <c r="B112" s="3" t="s">
        <v>86</v>
      </c>
      <c r="C112" s="3" t="s">
        <v>87</v>
      </c>
      <c r="D112" s="3"/>
      <c r="E112" s="3">
        <v>0</v>
      </c>
      <c r="F112" s="470"/>
      <c r="G112" s="3"/>
      <c r="H112" s="16"/>
      <c r="I112" s="3"/>
      <c r="J112" s="112">
        <f>I112/54</f>
        <v>0</v>
      </c>
      <c r="K112" s="458"/>
      <c r="L112" s="458"/>
    </row>
    <row r="113" spans="1:12" x14ac:dyDescent="0.3">
      <c r="A113" s="3"/>
      <c r="B113" s="3"/>
      <c r="C113" s="3" t="s">
        <v>88</v>
      </c>
      <c r="D113" s="3"/>
      <c r="E113" s="3">
        <v>0</v>
      </c>
      <c r="F113" s="470">
        <v>25000</v>
      </c>
      <c r="G113" s="3">
        <v>1</v>
      </c>
      <c r="H113" s="16">
        <v>1</v>
      </c>
      <c r="I113" s="24">
        <f>E113*F113*G113*H113</f>
        <v>0</v>
      </c>
      <c r="J113" s="112">
        <f>I113/54</f>
        <v>0</v>
      </c>
      <c r="K113" s="458"/>
      <c r="L113" s="458"/>
    </row>
    <row r="114" spans="1:12" x14ac:dyDescent="0.3">
      <c r="A114" s="3"/>
      <c r="B114" s="3"/>
      <c r="C114" s="3" t="s">
        <v>89</v>
      </c>
      <c r="D114" s="3"/>
      <c r="E114" s="3">
        <v>0</v>
      </c>
      <c r="F114" s="470">
        <v>2500</v>
      </c>
      <c r="G114" s="3">
        <v>5</v>
      </c>
      <c r="H114" s="16">
        <v>1</v>
      </c>
      <c r="I114" s="24">
        <f>E114*F114*G114*H114</f>
        <v>0</v>
      </c>
      <c r="J114" s="112">
        <f>I114/54</f>
        <v>0</v>
      </c>
      <c r="K114" s="458"/>
      <c r="L114" s="458"/>
    </row>
    <row r="115" spans="1:12" x14ac:dyDescent="0.3">
      <c r="A115" s="3"/>
      <c r="B115" s="3"/>
      <c r="C115" s="3" t="s">
        <v>90</v>
      </c>
      <c r="D115" s="3"/>
      <c r="E115" s="3">
        <v>0</v>
      </c>
      <c r="F115" s="470">
        <v>10000</v>
      </c>
      <c r="G115" s="3">
        <v>5</v>
      </c>
      <c r="H115" s="16">
        <v>1</v>
      </c>
      <c r="I115" s="24">
        <f>E115*F115*G115*H115</f>
        <v>0</v>
      </c>
      <c r="J115" s="112">
        <f>I115/54</f>
        <v>0</v>
      </c>
      <c r="K115" s="458"/>
      <c r="L115" s="458"/>
    </row>
    <row r="116" spans="1:12" x14ac:dyDescent="0.3">
      <c r="A116" s="3"/>
      <c r="B116" s="3"/>
      <c r="C116" s="3"/>
      <c r="D116" s="82" t="s">
        <v>10</v>
      </c>
      <c r="E116" s="82"/>
      <c r="F116" s="471"/>
      <c r="G116" s="82"/>
      <c r="H116" s="123"/>
      <c r="I116" s="121">
        <f>SUM(I111:I115)</f>
        <v>0</v>
      </c>
      <c r="J116" s="121">
        <f>SUM(J111:J115)</f>
        <v>0</v>
      </c>
      <c r="K116" s="458"/>
      <c r="L116" s="458"/>
    </row>
    <row r="117" spans="1:12" x14ac:dyDescent="0.3">
      <c r="A117" s="96"/>
      <c r="B117" s="96"/>
      <c r="C117" s="96"/>
      <c r="D117" s="96"/>
      <c r="E117" s="96"/>
      <c r="F117" s="472"/>
      <c r="G117" s="96"/>
      <c r="H117" s="125"/>
      <c r="I117" s="126"/>
      <c r="J117" s="96"/>
      <c r="K117" s="458"/>
      <c r="L117" s="458"/>
    </row>
    <row r="118" spans="1:12" x14ac:dyDescent="0.3">
      <c r="A118" s="769" t="s">
        <v>109</v>
      </c>
      <c r="B118" s="770"/>
      <c r="C118" s="770"/>
      <c r="D118" s="771"/>
      <c r="E118" s="127"/>
      <c r="F118" s="474"/>
      <c r="G118" s="127"/>
      <c r="H118" s="129"/>
      <c r="I118" s="127"/>
      <c r="J118" s="127"/>
      <c r="K118" s="458"/>
      <c r="L118" s="458"/>
    </row>
    <row r="119" spans="1:12" x14ac:dyDescent="0.3">
      <c r="A119" s="3"/>
      <c r="B119" s="3" t="s">
        <v>92</v>
      </c>
      <c r="C119" s="3" t="s">
        <v>93</v>
      </c>
      <c r="D119" s="3"/>
      <c r="E119" s="3">
        <v>50</v>
      </c>
      <c r="F119" s="470">
        <v>400</v>
      </c>
      <c r="G119" s="3">
        <v>2</v>
      </c>
      <c r="H119" s="16">
        <v>1</v>
      </c>
      <c r="I119" s="24">
        <f>E119*F119*G119*H119</f>
        <v>40000</v>
      </c>
      <c r="J119" s="476">
        <f>I119/54</f>
        <v>740.74074074074076</v>
      </c>
      <c r="K119" s="458"/>
      <c r="L119" s="458"/>
    </row>
    <row r="120" spans="1:12" x14ac:dyDescent="0.3">
      <c r="A120" s="3"/>
      <c r="B120" s="3" t="s">
        <v>86</v>
      </c>
      <c r="C120" s="3" t="s">
        <v>94</v>
      </c>
      <c r="D120" s="3" t="s">
        <v>110</v>
      </c>
      <c r="E120" s="3">
        <v>50</v>
      </c>
      <c r="F120" s="470">
        <v>5000</v>
      </c>
      <c r="G120" s="3">
        <v>1</v>
      </c>
      <c r="H120" s="16">
        <v>1</v>
      </c>
      <c r="I120" s="24">
        <f t="shared" ref="I120:I126" si="15">E120*F120*G120*H120</f>
        <v>250000</v>
      </c>
      <c r="J120" s="476">
        <f t="shared" ref="J120:J127" si="16">I120/54</f>
        <v>4629.6296296296296</v>
      </c>
      <c r="K120" s="458"/>
      <c r="L120" s="458"/>
    </row>
    <row r="121" spans="1:12" x14ac:dyDescent="0.3">
      <c r="A121" s="3"/>
      <c r="B121" s="3" t="s">
        <v>95</v>
      </c>
      <c r="C121" s="3" t="s">
        <v>96</v>
      </c>
      <c r="D121" s="3" t="s">
        <v>110</v>
      </c>
      <c r="E121" s="3">
        <v>50</v>
      </c>
      <c r="F121" s="470">
        <v>5000</v>
      </c>
      <c r="G121" s="3">
        <v>3</v>
      </c>
      <c r="H121" s="16">
        <v>1</v>
      </c>
      <c r="I121" s="24">
        <f t="shared" si="15"/>
        <v>750000</v>
      </c>
      <c r="J121" s="476">
        <f t="shared" si="16"/>
        <v>13888.888888888889</v>
      </c>
      <c r="K121" s="458"/>
      <c r="L121" s="458"/>
    </row>
    <row r="122" spans="1:12" x14ac:dyDescent="0.3">
      <c r="A122" s="3"/>
      <c r="B122" s="3" t="s">
        <v>97</v>
      </c>
      <c r="C122" s="3" t="s">
        <v>111</v>
      </c>
      <c r="D122" s="3" t="s">
        <v>110</v>
      </c>
      <c r="E122" s="3">
        <v>50</v>
      </c>
      <c r="F122" s="470">
        <v>1000</v>
      </c>
      <c r="G122" s="3">
        <v>1</v>
      </c>
      <c r="H122" s="16">
        <v>1</v>
      </c>
      <c r="I122" s="24">
        <f t="shared" si="15"/>
        <v>50000</v>
      </c>
      <c r="J122" s="476">
        <f t="shared" si="16"/>
        <v>925.92592592592598</v>
      </c>
      <c r="K122" s="458"/>
      <c r="L122" s="458"/>
    </row>
    <row r="123" spans="1:12" x14ac:dyDescent="0.3">
      <c r="A123" s="3"/>
      <c r="B123" s="3" t="s">
        <v>99</v>
      </c>
      <c r="C123" s="3" t="s">
        <v>100</v>
      </c>
      <c r="D123" s="3" t="s">
        <v>112</v>
      </c>
      <c r="E123" s="3">
        <v>0</v>
      </c>
      <c r="F123" s="470">
        <v>10000</v>
      </c>
      <c r="G123" s="3">
        <v>0</v>
      </c>
      <c r="H123" s="16">
        <v>1</v>
      </c>
      <c r="I123" s="24">
        <f t="shared" si="15"/>
        <v>0</v>
      </c>
      <c r="J123" s="476">
        <f t="shared" si="16"/>
        <v>0</v>
      </c>
      <c r="K123" s="458"/>
      <c r="L123" s="458"/>
    </row>
    <row r="124" spans="1:12" x14ac:dyDescent="0.3">
      <c r="A124" s="3"/>
      <c r="B124" s="3" t="s">
        <v>101</v>
      </c>
      <c r="C124" s="3" t="s">
        <v>102</v>
      </c>
      <c r="D124" s="3"/>
      <c r="E124" s="3">
        <v>0</v>
      </c>
      <c r="F124" s="470">
        <v>25000</v>
      </c>
      <c r="G124" s="3">
        <v>0</v>
      </c>
      <c r="H124" s="16">
        <v>1</v>
      </c>
      <c r="I124" s="24">
        <f t="shared" si="15"/>
        <v>0</v>
      </c>
      <c r="J124" s="476">
        <f t="shared" si="16"/>
        <v>0</v>
      </c>
      <c r="K124" s="458"/>
      <c r="L124" s="458"/>
    </row>
    <row r="125" spans="1:12" x14ac:dyDescent="0.3">
      <c r="A125" s="3"/>
      <c r="B125" s="3" t="s">
        <v>103</v>
      </c>
      <c r="C125" s="3" t="s">
        <v>104</v>
      </c>
      <c r="D125" s="3" t="s">
        <v>105</v>
      </c>
      <c r="E125" s="3">
        <v>50</v>
      </c>
      <c r="F125" s="470">
        <v>150</v>
      </c>
      <c r="G125" s="3">
        <v>1</v>
      </c>
      <c r="H125" s="16">
        <v>1</v>
      </c>
      <c r="I125" s="24">
        <f t="shared" si="15"/>
        <v>7500</v>
      </c>
      <c r="J125" s="476">
        <f t="shared" si="16"/>
        <v>138.88888888888889</v>
      </c>
      <c r="K125" s="458"/>
      <c r="L125" s="458"/>
    </row>
    <row r="126" spans="1:12" x14ac:dyDescent="0.3">
      <c r="A126" s="3"/>
      <c r="B126" s="3" t="s">
        <v>106</v>
      </c>
      <c r="C126" s="3" t="s">
        <v>107</v>
      </c>
      <c r="D126" s="3"/>
      <c r="E126" s="3">
        <v>50</v>
      </c>
      <c r="F126" s="470">
        <v>400</v>
      </c>
      <c r="G126" s="3">
        <v>1</v>
      </c>
      <c r="H126" s="16">
        <v>1</v>
      </c>
      <c r="I126" s="24">
        <f t="shared" si="15"/>
        <v>20000</v>
      </c>
      <c r="J126" s="476">
        <f t="shared" si="16"/>
        <v>370.37037037037038</v>
      </c>
      <c r="K126" s="458"/>
      <c r="L126" s="458"/>
    </row>
    <row r="127" spans="1:12" x14ac:dyDescent="0.3">
      <c r="A127" s="3"/>
      <c r="B127" s="3"/>
      <c r="C127" s="3"/>
      <c r="D127" s="82" t="s">
        <v>10</v>
      </c>
      <c r="E127" s="82"/>
      <c r="F127" s="471"/>
      <c r="G127" s="82"/>
      <c r="H127" s="123"/>
      <c r="I127" s="121">
        <f>SUM(I119:I126)</f>
        <v>1117500</v>
      </c>
      <c r="J127" s="121">
        <f t="shared" si="16"/>
        <v>20694.444444444445</v>
      </c>
      <c r="K127" s="458"/>
      <c r="L127" s="458"/>
    </row>
    <row r="128" spans="1:12" x14ac:dyDescent="0.3">
      <c r="A128" s="3"/>
      <c r="B128" s="3"/>
      <c r="C128" s="3"/>
      <c r="D128" s="3"/>
      <c r="E128" s="3"/>
      <c r="F128" s="3"/>
      <c r="G128" s="3"/>
      <c r="H128" s="16"/>
      <c r="I128" s="3"/>
      <c r="J128" s="3"/>
      <c r="K128" s="519" t="s">
        <v>50</v>
      </c>
      <c r="L128" s="473"/>
    </row>
    <row r="129" spans="1:12" x14ac:dyDescent="0.3">
      <c r="A129" s="3"/>
      <c r="B129" s="3"/>
      <c r="C129" s="3"/>
      <c r="D129" s="83" t="s">
        <v>19</v>
      </c>
      <c r="E129" s="83"/>
      <c r="F129" s="83"/>
      <c r="G129" s="83"/>
      <c r="H129" s="131"/>
      <c r="I129" s="132">
        <f>I116+I127</f>
        <v>1117500</v>
      </c>
      <c r="J129" s="132">
        <f>J116+J127</f>
        <v>20694.444444444445</v>
      </c>
      <c r="K129" s="519">
        <f>(I129/50)/2</f>
        <v>11175</v>
      </c>
      <c r="L129" s="473"/>
    </row>
    <row r="130" spans="1:12" x14ac:dyDescent="0.3">
      <c r="H130" s="475"/>
      <c r="I130" s="1"/>
      <c r="K130" s="458"/>
      <c r="L130" s="458"/>
    </row>
  </sheetData>
  <mergeCells count="37">
    <mergeCell ref="C16:I16"/>
    <mergeCell ref="B12:I12"/>
    <mergeCell ref="K13:N13"/>
    <mergeCell ref="P13:S13"/>
    <mergeCell ref="U13:X13"/>
    <mergeCell ref="C15:I15"/>
    <mergeCell ref="U30:X30"/>
    <mergeCell ref="C17:I17"/>
    <mergeCell ref="C18:I18"/>
    <mergeCell ref="C20:I20"/>
    <mergeCell ref="C21:I21"/>
    <mergeCell ref="C22:I22"/>
    <mergeCell ref="C24:I24"/>
    <mergeCell ref="C25:I25"/>
    <mergeCell ref="C26:I26"/>
    <mergeCell ref="B30:I30"/>
    <mergeCell ref="K30:N30"/>
    <mergeCell ref="P30:S30"/>
    <mergeCell ref="A83:J83"/>
    <mergeCell ref="B38:I38"/>
    <mergeCell ref="K38:N38"/>
    <mergeCell ref="P38:S38"/>
    <mergeCell ref="U38:X38"/>
    <mergeCell ref="B45:I45"/>
    <mergeCell ref="K45:N45"/>
    <mergeCell ref="P45:S45"/>
    <mergeCell ref="U45:X45"/>
    <mergeCell ref="K54:N54"/>
    <mergeCell ref="P54:S54"/>
    <mergeCell ref="U54:X54"/>
    <mergeCell ref="B63:E63"/>
    <mergeCell ref="B64:E64"/>
    <mergeCell ref="A85:D85"/>
    <mergeCell ref="A94:D94"/>
    <mergeCell ref="A107:J107"/>
    <mergeCell ref="A109:D109"/>
    <mergeCell ref="A118:D118"/>
  </mergeCells>
  <pageMargins left="0.7" right="0.7" top="0.75" bottom="0.75" header="0.3" footer="0.3"/>
  <pageSetup paperSize="8" scale="37" orientation="landscape"/>
  <rowBreaks count="1" manualBreakCount="1">
    <brk id="28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4:AB48"/>
  <sheetViews>
    <sheetView zoomScale="90" zoomScaleNormal="90" zoomScalePageLayoutView="90" workbookViewId="0">
      <selection activeCell="B49" sqref="B49:J49"/>
    </sheetView>
  </sheetViews>
  <sheetFormatPr defaultColWidth="8.6640625" defaultRowHeight="14.4" x14ac:dyDescent="0.3"/>
  <cols>
    <col min="1" max="1" width="2.44140625" style="1" customWidth="1"/>
    <col min="2" max="2" width="11.33203125" style="1" customWidth="1"/>
    <col min="3" max="3" width="61.44140625" style="1" customWidth="1"/>
    <col min="4" max="4" width="19.88671875" style="1" customWidth="1"/>
    <col min="5" max="5" width="17" style="1" customWidth="1"/>
    <col min="6" max="6" width="17" style="1" bestFit="1" customWidth="1"/>
    <col min="7" max="7" width="17.6640625" style="1" bestFit="1" customWidth="1"/>
    <col min="8" max="8" width="17.44140625" style="1" bestFit="1" customWidth="1"/>
    <col min="9" max="9" width="15" style="458" bestFit="1" customWidth="1"/>
    <col min="10" max="10" width="6.44140625" style="1" customWidth="1"/>
    <col min="11" max="15" width="14.44140625" style="1" bestFit="1" customWidth="1"/>
    <col min="16" max="19" width="17" style="1" hidden="1" customWidth="1"/>
    <col min="20" max="20" width="17" style="1" bestFit="1" customWidth="1"/>
    <col min="21" max="24" width="17" style="1" hidden="1" customWidth="1"/>
    <col min="25" max="25" width="17" style="1" bestFit="1" customWidth="1"/>
    <col min="26" max="26" width="17.6640625" style="1" bestFit="1" customWidth="1"/>
    <col min="27" max="256" width="8.6640625" style="1"/>
    <col min="257" max="257" width="2.44140625" style="1" customWidth="1"/>
    <col min="258" max="258" width="11.33203125" style="1" customWidth="1"/>
    <col min="259" max="259" width="61.44140625" style="1" customWidth="1"/>
    <col min="260" max="260" width="15.44140625" style="1" bestFit="1" customWidth="1"/>
    <col min="261" max="261" width="17" style="1" customWidth="1"/>
    <col min="262" max="262" width="17" style="1" bestFit="1" customWidth="1"/>
    <col min="263" max="263" width="17.6640625" style="1" bestFit="1" customWidth="1"/>
    <col min="264" max="264" width="17.44140625" style="1" bestFit="1" customWidth="1"/>
    <col min="265" max="265" width="15" style="1" bestFit="1" customWidth="1"/>
    <col min="266" max="266" width="6.44140625" style="1" customWidth="1"/>
    <col min="267" max="271" width="14.44140625" style="1" bestFit="1" customWidth="1"/>
    <col min="272" max="275" width="0" style="1" hidden="1" customWidth="1"/>
    <col min="276" max="276" width="17" style="1" bestFit="1" customWidth="1"/>
    <col min="277" max="280" width="0" style="1" hidden="1" customWidth="1"/>
    <col min="281" max="281" width="17" style="1" bestFit="1" customWidth="1"/>
    <col min="282" max="282" width="17.6640625" style="1" bestFit="1" customWidth="1"/>
    <col min="283" max="512" width="8.6640625" style="1"/>
    <col min="513" max="513" width="2.44140625" style="1" customWidth="1"/>
    <col min="514" max="514" width="11.33203125" style="1" customWidth="1"/>
    <col min="515" max="515" width="61.44140625" style="1" customWidth="1"/>
    <col min="516" max="516" width="15.44140625" style="1" bestFit="1" customWidth="1"/>
    <col min="517" max="517" width="17" style="1" customWidth="1"/>
    <col min="518" max="518" width="17" style="1" bestFit="1" customWidth="1"/>
    <col min="519" max="519" width="17.6640625" style="1" bestFit="1" customWidth="1"/>
    <col min="520" max="520" width="17.44140625" style="1" bestFit="1" customWidth="1"/>
    <col min="521" max="521" width="15" style="1" bestFit="1" customWidth="1"/>
    <col min="522" max="522" width="6.44140625" style="1" customWidth="1"/>
    <col min="523" max="527" width="14.44140625" style="1" bestFit="1" customWidth="1"/>
    <col min="528" max="531" width="0" style="1" hidden="1" customWidth="1"/>
    <col min="532" max="532" width="17" style="1" bestFit="1" customWidth="1"/>
    <col min="533" max="536" width="0" style="1" hidden="1" customWidth="1"/>
    <col min="537" max="537" width="17" style="1" bestFit="1" customWidth="1"/>
    <col min="538" max="538" width="17.6640625" style="1" bestFit="1" customWidth="1"/>
    <col min="539" max="768" width="8.6640625" style="1"/>
    <col min="769" max="769" width="2.44140625" style="1" customWidth="1"/>
    <col min="770" max="770" width="11.33203125" style="1" customWidth="1"/>
    <col min="771" max="771" width="61.44140625" style="1" customWidth="1"/>
    <col min="772" max="772" width="15.44140625" style="1" bestFit="1" customWidth="1"/>
    <col min="773" max="773" width="17" style="1" customWidth="1"/>
    <col min="774" max="774" width="17" style="1" bestFit="1" customWidth="1"/>
    <col min="775" max="775" width="17.6640625" style="1" bestFit="1" customWidth="1"/>
    <col min="776" max="776" width="17.44140625" style="1" bestFit="1" customWidth="1"/>
    <col min="777" max="777" width="15" style="1" bestFit="1" customWidth="1"/>
    <col min="778" max="778" width="6.44140625" style="1" customWidth="1"/>
    <col min="779" max="783" width="14.44140625" style="1" bestFit="1" customWidth="1"/>
    <col min="784" max="787" width="0" style="1" hidden="1" customWidth="1"/>
    <col min="788" max="788" width="17" style="1" bestFit="1" customWidth="1"/>
    <col min="789" max="792" width="0" style="1" hidden="1" customWidth="1"/>
    <col min="793" max="793" width="17" style="1" bestFit="1" customWidth="1"/>
    <col min="794" max="794" width="17.6640625" style="1" bestFit="1" customWidth="1"/>
    <col min="795" max="1024" width="8.6640625" style="1"/>
    <col min="1025" max="1025" width="2.44140625" style="1" customWidth="1"/>
    <col min="1026" max="1026" width="11.33203125" style="1" customWidth="1"/>
    <col min="1027" max="1027" width="61.44140625" style="1" customWidth="1"/>
    <col min="1028" max="1028" width="15.44140625" style="1" bestFit="1" customWidth="1"/>
    <col min="1029" max="1029" width="17" style="1" customWidth="1"/>
    <col min="1030" max="1030" width="17" style="1" bestFit="1" customWidth="1"/>
    <col min="1031" max="1031" width="17.6640625" style="1" bestFit="1" customWidth="1"/>
    <col min="1032" max="1032" width="17.44140625" style="1" bestFit="1" customWidth="1"/>
    <col min="1033" max="1033" width="15" style="1" bestFit="1" customWidth="1"/>
    <col min="1034" max="1034" width="6.44140625" style="1" customWidth="1"/>
    <col min="1035" max="1039" width="14.44140625" style="1" bestFit="1" customWidth="1"/>
    <col min="1040" max="1043" width="0" style="1" hidden="1" customWidth="1"/>
    <col min="1044" max="1044" width="17" style="1" bestFit="1" customWidth="1"/>
    <col min="1045" max="1048" width="0" style="1" hidden="1" customWidth="1"/>
    <col min="1049" max="1049" width="17" style="1" bestFit="1" customWidth="1"/>
    <col min="1050" max="1050" width="17.6640625" style="1" bestFit="1" customWidth="1"/>
    <col min="1051" max="1280" width="8.6640625" style="1"/>
    <col min="1281" max="1281" width="2.44140625" style="1" customWidth="1"/>
    <col min="1282" max="1282" width="11.33203125" style="1" customWidth="1"/>
    <col min="1283" max="1283" width="61.44140625" style="1" customWidth="1"/>
    <col min="1284" max="1284" width="15.44140625" style="1" bestFit="1" customWidth="1"/>
    <col min="1285" max="1285" width="17" style="1" customWidth="1"/>
    <col min="1286" max="1286" width="17" style="1" bestFit="1" customWidth="1"/>
    <col min="1287" max="1287" width="17.6640625" style="1" bestFit="1" customWidth="1"/>
    <col min="1288" max="1288" width="17.44140625" style="1" bestFit="1" customWidth="1"/>
    <col min="1289" max="1289" width="15" style="1" bestFit="1" customWidth="1"/>
    <col min="1290" max="1290" width="6.44140625" style="1" customWidth="1"/>
    <col min="1291" max="1295" width="14.44140625" style="1" bestFit="1" customWidth="1"/>
    <col min="1296" max="1299" width="0" style="1" hidden="1" customWidth="1"/>
    <col min="1300" max="1300" width="17" style="1" bestFit="1" customWidth="1"/>
    <col min="1301" max="1304" width="0" style="1" hidden="1" customWidth="1"/>
    <col min="1305" max="1305" width="17" style="1" bestFit="1" customWidth="1"/>
    <col min="1306" max="1306" width="17.6640625" style="1" bestFit="1" customWidth="1"/>
    <col min="1307" max="1536" width="8.6640625" style="1"/>
    <col min="1537" max="1537" width="2.44140625" style="1" customWidth="1"/>
    <col min="1538" max="1538" width="11.33203125" style="1" customWidth="1"/>
    <col min="1539" max="1539" width="61.44140625" style="1" customWidth="1"/>
    <col min="1540" max="1540" width="15.44140625" style="1" bestFit="1" customWidth="1"/>
    <col min="1541" max="1541" width="17" style="1" customWidth="1"/>
    <col min="1542" max="1542" width="17" style="1" bestFit="1" customWidth="1"/>
    <col min="1543" max="1543" width="17.6640625" style="1" bestFit="1" customWidth="1"/>
    <col min="1544" max="1544" width="17.44140625" style="1" bestFit="1" customWidth="1"/>
    <col min="1545" max="1545" width="15" style="1" bestFit="1" customWidth="1"/>
    <col min="1546" max="1546" width="6.44140625" style="1" customWidth="1"/>
    <col min="1547" max="1551" width="14.44140625" style="1" bestFit="1" customWidth="1"/>
    <col min="1552" max="1555" width="0" style="1" hidden="1" customWidth="1"/>
    <col min="1556" max="1556" width="17" style="1" bestFit="1" customWidth="1"/>
    <col min="1557" max="1560" width="0" style="1" hidden="1" customWidth="1"/>
    <col min="1561" max="1561" width="17" style="1" bestFit="1" customWidth="1"/>
    <col min="1562" max="1562" width="17.6640625" style="1" bestFit="1" customWidth="1"/>
    <col min="1563" max="1792" width="8.6640625" style="1"/>
    <col min="1793" max="1793" width="2.44140625" style="1" customWidth="1"/>
    <col min="1794" max="1794" width="11.33203125" style="1" customWidth="1"/>
    <col min="1795" max="1795" width="61.44140625" style="1" customWidth="1"/>
    <col min="1796" max="1796" width="15.44140625" style="1" bestFit="1" customWidth="1"/>
    <col min="1797" max="1797" width="17" style="1" customWidth="1"/>
    <col min="1798" max="1798" width="17" style="1" bestFit="1" customWidth="1"/>
    <col min="1799" max="1799" width="17.6640625" style="1" bestFit="1" customWidth="1"/>
    <col min="1800" max="1800" width="17.44140625" style="1" bestFit="1" customWidth="1"/>
    <col min="1801" max="1801" width="15" style="1" bestFit="1" customWidth="1"/>
    <col min="1802" max="1802" width="6.44140625" style="1" customWidth="1"/>
    <col min="1803" max="1807" width="14.44140625" style="1" bestFit="1" customWidth="1"/>
    <col min="1808" max="1811" width="0" style="1" hidden="1" customWidth="1"/>
    <col min="1812" max="1812" width="17" style="1" bestFit="1" customWidth="1"/>
    <col min="1813" max="1816" width="0" style="1" hidden="1" customWidth="1"/>
    <col min="1817" max="1817" width="17" style="1" bestFit="1" customWidth="1"/>
    <col min="1818" max="1818" width="17.6640625" style="1" bestFit="1" customWidth="1"/>
    <col min="1819" max="2048" width="8.6640625" style="1"/>
    <col min="2049" max="2049" width="2.44140625" style="1" customWidth="1"/>
    <col min="2050" max="2050" width="11.33203125" style="1" customWidth="1"/>
    <col min="2051" max="2051" width="61.44140625" style="1" customWidth="1"/>
    <col min="2052" max="2052" width="15.44140625" style="1" bestFit="1" customWidth="1"/>
    <col min="2053" max="2053" width="17" style="1" customWidth="1"/>
    <col min="2054" max="2054" width="17" style="1" bestFit="1" customWidth="1"/>
    <col min="2055" max="2055" width="17.6640625" style="1" bestFit="1" customWidth="1"/>
    <col min="2056" max="2056" width="17.44140625" style="1" bestFit="1" customWidth="1"/>
    <col min="2057" max="2057" width="15" style="1" bestFit="1" customWidth="1"/>
    <col min="2058" max="2058" width="6.44140625" style="1" customWidth="1"/>
    <col min="2059" max="2063" width="14.44140625" style="1" bestFit="1" customWidth="1"/>
    <col min="2064" max="2067" width="0" style="1" hidden="1" customWidth="1"/>
    <col min="2068" max="2068" width="17" style="1" bestFit="1" customWidth="1"/>
    <col min="2069" max="2072" width="0" style="1" hidden="1" customWidth="1"/>
    <col min="2073" max="2073" width="17" style="1" bestFit="1" customWidth="1"/>
    <col min="2074" max="2074" width="17.6640625" style="1" bestFit="1" customWidth="1"/>
    <col min="2075" max="2304" width="8.6640625" style="1"/>
    <col min="2305" max="2305" width="2.44140625" style="1" customWidth="1"/>
    <col min="2306" max="2306" width="11.33203125" style="1" customWidth="1"/>
    <col min="2307" max="2307" width="61.44140625" style="1" customWidth="1"/>
    <col min="2308" max="2308" width="15.44140625" style="1" bestFit="1" customWidth="1"/>
    <col min="2309" max="2309" width="17" style="1" customWidth="1"/>
    <col min="2310" max="2310" width="17" style="1" bestFit="1" customWidth="1"/>
    <col min="2311" max="2311" width="17.6640625" style="1" bestFit="1" customWidth="1"/>
    <col min="2312" max="2312" width="17.44140625" style="1" bestFit="1" customWidth="1"/>
    <col min="2313" max="2313" width="15" style="1" bestFit="1" customWidth="1"/>
    <col min="2314" max="2314" width="6.44140625" style="1" customWidth="1"/>
    <col min="2315" max="2319" width="14.44140625" style="1" bestFit="1" customWidth="1"/>
    <col min="2320" max="2323" width="0" style="1" hidden="1" customWidth="1"/>
    <col min="2324" max="2324" width="17" style="1" bestFit="1" customWidth="1"/>
    <col min="2325" max="2328" width="0" style="1" hidden="1" customWidth="1"/>
    <col min="2329" max="2329" width="17" style="1" bestFit="1" customWidth="1"/>
    <col min="2330" max="2330" width="17.6640625" style="1" bestFit="1" customWidth="1"/>
    <col min="2331" max="2560" width="8.6640625" style="1"/>
    <col min="2561" max="2561" width="2.44140625" style="1" customWidth="1"/>
    <col min="2562" max="2562" width="11.33203125" style="1" customWidth="1"/>
    <col min="2563" max="2563" width="61.44140625" style="1" customWidth="1"/>
    <col min="2564" max="2564" width="15.44140625" style="1" bestFit="1" customWidth="1"/>
    <col min="2565" max="2565" width="17" style="1" customWidth="1"/>
    <col min="2566" max="2566" width="17" style="1" bestFit="1" customWidth="1"/>
    <col min="2567" max="2567" width="17.6640625" style="1" bestFit="1" customWidth="1"/>
    <col min="2568" max="2568" width="17.44140625" style="1" bestFit="1" customWidth="1"/>
    <col min="2569" max="2569" width="15" style="1" bestFit="1" customWidth="1"/>
    <col min="2570" max="2570" width="6.44140625" style="1" customWidth="1"/>
    <col min="2571" max="2575" width="14.44140625" style="1" bestFit="1" customWidth="1"/>
    <col min="2576" max="2579" width="0" style="1" hidden="1" customWidth="1"/>
    <col min="2580" max="2580" width="17" style="1" bestFit="1" customWidth="1"/>
    <col min="2581" max="2584" width="0" style="1" hidden="1" customWidth="1"/>
    <col min="2585" max="2585" width="17" style="1" bestFit="1" customWidth="1"/>
    <col min="2586" max="2586" width="17.6640625" style="1" bestFit="1" customWidth="1"/>
    <col min="2587" max="2816" width="8.6640625" style="1"/>
    <col min="2817" max="2817" width="2.44140625" style="1" customWidth="1"/>
    <col min="2818" max="2818" width="11.33203125" style="1" customWidth="1"/>
    <col min="2819" max="2819" width="61.44140625" style="1" customWidth="1"/>
    <col min="2820" max="2820" width="15.44140625" style="1" bestFit="1" customWidth="1"/>
    <col min="2821" max="2821" width="17" style="1" customWidth="1"/>
    <col min="2822" max="2822" width="17" style="1" bestFit="1" customWidth="1"/>
    <col min="2823" max="2823" width="17.6640625" style="1" bestFit="1" customWidth="1"/>
    <col min="2824" max="2824" width="17.44140625" style="1" bestFit="1" customWidth="1"/>
    <col min="2825" max="2825" width="15" style="1" bestFit="1" customWidth="1"/>
    <col min="2826" max="2826" width="6.44140625" style="1" customWidth="1"/>
    <col min="2827" max="2831" width="14.44140625" style="1" bestFit="1" customWidth="1"/>
    <col min="2832" max="2835" width="0" style="1" hidden="1" customWidth="1"/>
    <col min="2836" max="2836" width="17" style="1" bestFit="1" customWidth="1"/>
    <col min="2837" max="2840" width="0" style="1" hidden="1" customWidth="1"/>
    <col min="2841" max="2841" width="17" style="1" bestFit="1" customWidth="1"/>
    <col min="2842" max="2842" width="17.6640625" style="1" bestFit="1" customWidth="1"/>
    <col min="2843" max="3072" width="8.6640625" style="1"/>
    <col min="3073" max="3073" width="2.44140625" style="1" customWidth="1"/>
    <col min="3074" max="3074" width="11.33203125" style="1" customWidth="1"/>
    <col min="3075" max="3075" width="61.44140625" style="1" customWidth="1"/>
    <col min="3076" max="3076" width="15.44140625" style="1" bestFit="1" customWidth="1"/>
    <col min="3077" max="3077" width="17" style="1" customWidth="1"/>
    <col min="3078" max="3078" width="17" style="1" bestFit="1" customWidth="1"/>
    <col min="3079" max="3079" width="17.6640625" style="1" bestFit="1" customWidth="1"/>
    <col min="3080" max="3080" width="17.44140625" style="1" bestFit="1" customWidth="1"/>
    <col min="3081" max="3081" width="15" style="1" bestFit="1" customWidth="1"/>
    <col min="3082" max="3082" width="6.44140625" style="1" customWidth="1"/>
    <col min="3083" max="3087" width="14.44140625" style="1" bestFit="1" customWidth="1"/>
    <col min="3088" max="3091" width="0" style="1" hidden="1" customWidth="1"/>
    <col min="3092" max="3092" width="17" style="1" bestFit="1" customWidth="1"/>
    <col min="3093" max="3096" width="0" style="1" hidden="1" customWidth="1"/>
    <col min="3097" max="3097" width="17" style="1" bestFit="1" customWidth="1"/>
    <col min="3098" max="3098" width="17.6640625" style="1" bestFit="1" customWidth="1"/>
    <col min="3099" max="3328" width="8.6640625" style="1"/>
    <col min="3329" max="3329" width="2.44140625" style="1" customWidth="1"/>
    <col min="3330" max="3330" width="11.33203125" style="1" customWidth="1"/>
    <col min="3331" max="3331" width="61.44140625" style="1" customWidth="1"/>
    <col min="3332" max="3332" width="15.44140625" style="1" bestFit="1" customWidth="1"/>
    <col min="3333" max="3333" width="17" style="1" customWidth="1"/>
    <col min="3334" max="3334" width="17" style="1" bestFit="1" customWidth="1"/>
    <col min="3335" max="3335" width="17.6640625" style="1" bestFit="1" customWidth="1"/>
    <col min="3336" max="3336" width="17.44140625" style="1" bestFit="1" customWidth="1"/>
    <col min="3337" max="3337" width="15" style="1" bestFit="1" customWidth="1"/>
    <col min="3338" max="3338" width="6.44140625" style="1" customWidth="1"/>
    <col min="3339" max="3343" width="14.44140625" style="1" bestFit="1" customWidth="1"/>
    <col min="3344" max="3347" width="0" style="1" hidden="1" customWidth="1"/>
    <col min="3348" max="3348" width="17" style="1" bestFit="1" customWidth="1"/>
    <col min="3349" max="3352" width="0" style="1" hidden="1" customWidth="1"/>
    <col min="3353" max="3353" width="17" style="1" bestFit="1" customWidth="1"/>
    <col min="3354" max="3354" width="17.6640625" style="1" bestFit="1" customWidth="1"/>
    <col min="3355" max="3584" width="8.6640625" style="1"/>
    <col min="3585" max="3585" width="2.44140625" style="1" customWidth="1"/>
    <col min="3586" max="3586" width="11.33203125" style="1" customWidth="1"/>
    <col min="3587" max="3587" width="61.44140625" style="1" customWidth="1"/>
    <col min="3588" max="3588" width="15.44140625" style="1" bestFit="1" customWidth="1"/>
    <col min="3589" max="3589" width="17" style="1" customWidth="1"/>
    <col min="3590" max="3590" width="17" style="1" bestFit="1" customWidth="1"/>
    <col min="3591" max="3591" width="17.6640625" style="1" bestFit="1" customWidth="1"/>
    <col min="3592" max="3592" width="17.44140625" style="1" bestFit="1" customWidth="1"/>
    <col min="3593" max="3593" width="15" style="1" bestFit="1" customWidth="1"/>
    <col min="3594" max="3594" width="6.44140625" style="1" customWidth="1"/>
    <col min="3595" max="3599" width="14.44140625" style="1" bestFit="1" customWidth="1"/>
    <col min="3600" max="3603" width="0" style="1" hidden="1" customWidth="1"/>
    <col min="3604" max="3604" width="17" style="1" bestFit="1" customWidth="1"/>
    <col min="3605" max="3608" width="0" style="1" hidden="1" customWidth="1"/>
    <col min="3609" max="3609" width="17" style="1" bestFit="1" customWidth="1"/>
    <col min="3610" max="3610" width="17.6640625" style="1" bestFit="1" customWidth="1"/>
    <col min="3611" max="3840" width="8.6640625" style="1"/>
    <col min="3841" max="3841" width="2.44140625" style="1" customWidth="1"/>
    <col min="3842" max="3842" width="11.33203125" style="1" customWidth="1"/>
    <col min="3843" max="3843" width="61.44140625" style="1" customWidth="1"/>
    <col min="3844" max="3844" width="15.44140625" style="1" bestFit="1" customWidth="1"/>
    <col min="3845" max="3845" width="17" style="1" customWidth="1"/>
    <col min="3846" max="3846" width="17" style="1" bestFit="1" customWidth="1"/>
    <col min="3847" max="3847" width="17.6640625" style="1" bestFit="1" customWidth="1"/>
    <col min="3848" max="3848" width="17.44140625" style="1" bestFit="1" customWidth="1"/>
    <col min="3849" max="3849" width="15" style="1" bestFit="1" customWidth="1"/>
    <col min="3850" max="3850" width="6.44140625" style="1" customWidth="1"/>
    <col min="3851" max="3855" width="14.44140625" style="1" bestFit="1" customWidth="1"/>
    <col min="3856" max="3859" width="0" style="1" hidden="1" customWidth="1"/>
    <col min="3860" max="3860" width="17" style="1" bestFit="1" customWidth="1"/>
    <col min="3861" max="3864" width="0" style="1" hidden="1" customWidth="1"/>
    <col min="3865" max="3865" width="17" style="1" bestFit="1" customWidth="1"/>
    <col min="3866" max="3866" width="17.6640625" style="1" bestFit="1" customWidth="1"/>
    <col min="3867" max="4096" width="8.6640625" style="1"/>
    <col min="4097" max="4097" width="2.44140625" style="1" customWidth="1"/>
    <col min="4098" max="4098" width="11.33203125" style="1" customWidth="1"/>
    <col min="4099" max="4099" width="61.44140625" style="1" customWidth="1"/>
    <col min="4100" max="4100" width="15.44140625" style="1" bestFit="1" customWidth="1"/>
    <col min="4101" max="4101" width="17" style="1" customWidth="1"/>
    <col min="4102" max="4102" width="17" style="1" bestFit="1" customWidth="1"/>
    <col min="4103" max="4103" width="17.6640625" style="1" bestFit="1" customWidth="1"/>
    <col min="4104" max="4104" width="17.44140625" style="1" bestFit="1" customWidth="1"/>
    <col min="4105" max="4105" width="15" style="1" bestFit="1" customWidth="1"/>
    <col min="4106" max="4106" width="6.44140625" style="1" customWidth="1"/>
    <col min="4107" max="4111" width="14.44140625" style="1" bestFit="1" customWidth="1"/>
    <col min="4112" max="4115" width="0" style="1" hidden="1" customWidth="1"/>
    <col min="4116" max="4116" width="17" style="1" bestFit="1" customWidth="1"/>
    <col min="4117" max="4120" width="0" style="1" hidden="1" customWidth="1"/>
    <col min="4121" max="4121" width="17" style="1" bestFit="1" customWidth="1"/>
    <col min="4122" max="4122" width="17.6640625" style="1" bestFit="1" customWidth="1"/>
    <col min="4123" max="4352" width="8.6640625" style="1"/>
    <col min="4353" max="4353" width="2.44140625" style="1" customWidth="1"/>
    <col min="4354" max="4354" width="11.33203125" style="1" customWidth="1"/>
    <col min="4355" max="4355" width="61.44140625" style="1" customWidth="1"/>
    <col min="4356" max="4356" width="15.44140625" style="1" bestFit="1" customWidth="1"/>
    <col min="4357" max="4357" width="17" style="1" customWidth="1"/>
    <col min="4358" max="4358" width="17" style="1" bestFit="1" customWidth="1"/>
    <col min="4359" max="4359" width="17.6640625" style="1" bestFit="1" customWidth="1"/>
    <col min="4360" max="4360" width="17.44140625" style="1" bestFit="1" customWidth="1"/>
    <col min="4361" max="4361" width="15" style="1" bestFit="1" customWidth="1"/>
    <col min="4362" max="4362" width="6.44140625" style="1" customWidth="1"/>
    <col min="4363" max="4367" width="14.44140625" style="1" bestFit="1" customWidth="1"/>
    <col min="4368" max="4371" width="0" style="1" hidden="1" customWidth="1"/>
    <col min="4372" max="4372" width="17" style="1" bestFit="1" customWidth="1"/>
    <col min="4373" max="4376" width="0" style="1" hidden="1" customWidth="1"/>
    <col min="4377" max="4377" width="17" style="1" bestFit="1" customWidth="1"/>
    <col min="4378" max="4378" width="17.6640625" style="1" bestFit="1" customWidth="1"/>
    <col min="4379" max="4608" width="8.6640625" style="1"/>
    <col min="4609" max="4609" width="2.44140625" style="1" customWidth="1"/>
    <col min="4610" max="4610" width="11.33203125" style="1" customWidth="1"/>
    <col min="4611" max="4611" width="61.44140625" style="1" customWidth="1"/>
    <col min="4612" max="4612" width="15.44140625" style="1" bestFit="1" customWidth="1"/>
    <col min="4613" max="4613" width="17" style="1" customWidth="1"/>
    <col min="4614" max="4614" width="17" style="1" bestFit="1" customWidth="1"/>
    <col min="4615" max="4615" width="17.6640625" style="1" bestFit="1" customWidth="1"/>
    <col min="4616" max="4616" width="17.44140625" style="1" bestFit="1" customWidth="1"/>
    <col min="4617" max="4617" width="15" style="1" bestFit="1" customWidth="1"/>
    <col min="4618" max="4618" width="6.44140625" style="1" customWidth="1"/>
    <col min="4619" max="4623" width="14.44140625" style="1" bestFit="1" customWidth="1"/>
    <col min="4624" max="4627" width="0" style="1" hidden="1" customWidth="1"/>
    <col min="4628" max="4628" width="17" style="1" bestFit="1" customWidth="1"/>
    <col min="4629" max="4632" width="0" style="1" hidden="1" customWidth="1"/>
    <col min="4633" max="4633" width="17" style="1" bestFit="1" customWidth="1"/>
    <col min="4634" max="4634" width="17.6640625" style="1" bestFit="1" customWidth="1"/>
    <col min="4635" max="4864" width="8.6640625" style="1"/>
    <col min="4865" max="4865" width="2.44140625" style="1" customWidth="1"/>
    <col min="4866" max="4866" width="11.33203125" style="1" customWidth="1"/>
    <col min="4867" max="4867" width="61.44140625" style="1" customWidth="1"/>
    <col min="4868" max="4868" width="15.44140625" style="1" bestFit="1" customWidth="1"/>
    <col min="4869" max="4869" width="17" style="1" customWidth="1"/>
    <col min="4870" max="4870" width="17" style="1" bestFit="1" customWidth="1"/>
    <col min="4871" max="4871" width="17.6640625" style="1" bestFit="1" customWidth="1"/>
    <col min="4872" max="4872" width="17.44140625" style="1" bestFit="1" customWidth="1"/>
    <col min="4873" max="4873" width="15" style="1" bestFit="1" customWidth="1"/>
    <col min="4874" max="4874" width="6.44140625" style="1" customWidth="1"/>
    <col min="4875" max="4879" width="14.44140625" style="1" bestFit="1" customWidth="1"/>
    <col min="4880" max="4883" width="0" style="1" hidden="1" customWidth="1"/>
    <col min="4884" max="4884" width="17" style="1" bestFit="1" customWidth="1"/>
    <col min="4885" max="4888" width="0" style="1" hidden="1" customWidth="1"/>
    <col min="4889" max="4889" width="17" style="1" bestFit="1" customWidth="1"/>
    <col min="4890" max="4890" width="17.6640625" style="1" bestFit="1" customWidth="1"/>
    <col min="4891" max="5120" width="8.6640625" style="1"/>
    <col min="5121" max="5121" width="2.44140625" style="1" customWidth="1"/>
    <col min="5122" max="5122" width="11.33203125" style="1" customWidth="1"/>
    <col min="5123" max="5123" width="61.44140625" style="1" customWidth="1"/>
    <col min="5124" max="5124" width="15.44140625" style="1" bestFit="1" customWidth="1"/>
    <col min="5125" max="5125" width="17" style="1" customWidth="1"/>
    <col min="5126" max="5126" width="17" style="1" bestFit="1" customWidth="1"/>
    <col min="5127" max="5127" width="17.6640625" style="1" bestFit="1" customWidth="1"/>
    <col min="5128" max="5128" width="17.44140625" style="1" bestFit="1" customWidth="1"/>
    <col min="5129" max="5129" width="15" style="1" bestFit="1" customWidth="1"/>
    <col min="5130" max="5130" width="6.44140625" style="1" customWidth="1"/>
    <col min="5131" max="5135" width="14.44140625" style="1" bestFit="1" customWidth="1"/>
    <col min="5136" max="5139" width="0" style="1" hidden="1" customWidth="1"/>
    <col min="5140" max="5140" width="17" style="1" bestFit="1" customWidth="1"/>
    <col min="5141" max="5144" width="0" style="1" hidden="1" customWidth="1"/>
    <col min="5145" max="5145" width="17" style="1" bestFit="1" customWidth="1"/>
    <col min="5146" max="5146" width="17.6640625" style="1" bestFit="1" customWidth="1"/>
    <col min="5147" max="5376" width="8.6640625" style="1"/>
    <col min="5377" max="5377" width="2.44140625" style="1" customWidth="1"/>
    <col min="5378" max="5378" width="11.33203125" style="1" customWidth="1"/>
    <col min="5379" max="5379" width="61.44140625" style="1" customWidth="1"/>
    <col min="5380" max="5380" width="15.44140625" style="1" bestFit="1" customWidth="1"/>
    <col min="5381" max="5381" width="17" style="1" customWidth="1"/>
    <col min="5382" max="5382" width="17" style="1" bestFit="1" customWidth="1"/>
    <col min="5383" max="5383" width="17.6640625" style="1" bestFit="1" customWidth="1"/>
    <col min="5384" max="5384" width="17.44140625" style="1" bestFit="1" customWidth="1"/>
    <col min="5385" max="5385" width="15" style="1" bestFit="1" customWidth="1"/>
    <col min="5386" max="5386" width="6.44140625" style="1" customWidth="1"/>
    <col min="5387" max="5391" width="14.44140625" style="1" bestFit="1" customWidth="1"/>
    <col min="5392" max="5395" width="0" style="1" hidden="1" customWidth="1"/>
    <col min="5396" max="5396" width="17" style="1" bestFit="1" customWidth="1"/>
    <col min="5397" max="5400" width="0" style="1" hidden="1" customWidth="1"/>
    <col min="5401" max="5401" width="17" style="1" bestFit="1" customWidth="1"/>
    <col min="5402" max="5402" width="17.6640625" style="1" bestFit="1" customWidth="1"/>
    <col min="5403" max="5632" width="8.6640625" style="1"/>
    <col min="5633" max="5633" width="2.44140625" style="1" customWidth="1"/>
    <col min="5634" max="5634" width="11.33203125" style="1" customWidth="1"/>
    <col min="5635" max="5635" width="61.44140625" style="1" customWidth="1"/>
    <col min="5636" max="5636" width="15.44140625" style="1" bestFit="1" customWidth="1"/>
    <col min="5637" max="5637" width="17" style="1" customWidth="1"/>
    <col min="5638" max="5638" width="17" style="1" bestFit="1" customWidth="1"/>
    <col min="5639" max="5639" width="17.6640625" style="1" bestFit="1" customWidth="1"/>
    <col min="5640" max="5640" width="17.44140625" style="1" bestFit="1" customWidth="1"/>
    <col min="5641" max="5641" width="15" style="1" bestFit="1" customWidth="1"/>
    <col min="5642" max="5642" width="6.44140625" style="1" customWidth="1"/>
    <col min="5643" max="5647" width="14.44140625" style="1" bestFit="1" customWidth="1"/>
    <col min="5648" max="5651" width="0" style="1" hidden="1" customWidth="1"/>
    <col min="5652" max="5652" width="17" style="1" bestFit="1" customWidth="1"/>
    <col min="5653" max="5656" width="0" style="1" hidden="1" customWidth="1"/>
    <col min="5657" max="5657" width="17" style="1" bestFit="1" customWidth="1"/>
    <col min="5658" max="5658" width="17.6640625" style="1" bestFit="1" customWidth="1"/>
    <col min="5659" max="5888" width="8.6640625" style="1"/>
    <col min="5889" max="5889" width="2.44140625" style="1" customWidth="1"/>
    <col min="5890" max="5890" width="11.33203125" style="1" customWidth="1"/>
    <col min="5891" max="5891" width="61.44140625" style="1" customWidth="1"/>
    <col min="5892" max="5892" width="15.44140625" style="1" bestFit="1" customWidth="1"/>
    <col min="5893" max="5893" width="17" style="1" customWidth="1"/>
    <col min="5894" max="5894" width="17" style="1" bestFit="1" customWidth="1"/>
    <col min="5895" max="5895" width="17.6640625" style="1" bestFit="1" customWidth="1"/>
    <col min="5896" max="5896" width="17.44140625" style="1" bestFit="1" customWidth="1"/>
    <col min="5897" max="5897" width="15" style="1" bestFit="1" customWidth="1"/>
    <col min="5898" max="5898" width="6.44140625" style="1" customWidth="1"/>
    <col min="5899" max="5903" width="14.44140625" style="1" bestFit="1" customWidth="1"/>
    <col min="5904" max="5907" width="0" style="1" hidden="1" customWidth="1"/>
    <col min="5908" max="5908" width="17" style="1" bestFit="1" customWidth="1"/>
    <col min="5909" max="5912" width="0" style="1" hidden="1" customWidth="1"/>
    <col min="5913" max="5913" width="17" style="1" bestFit="1" customWidth="1"/>
    <col min="5914" max="5914" width="17.6640625" style="1" bestFit="1" customWidth="1"/>
    <col min="5915" max="6144" width="8.6640625" style="1"/>
    <col min="6145" max="6145" width="2.44140625" style="1" customWidth="1"/>
    <col min="6146" max="6146" width="11.33203125" style="1" customWidth="1"/>
    <col min="6147" max="6147" width="61.44140625" style="1" customWidth="1"/>
    <col min="6148" max="6148" width="15.44140625" style="1" bestFit="1" customWidth="1"/>
    <col min="6149" max="6149" width="17" style="1" customWidth="1"/>
    <col min="6150" max="6150" width="17" style="1" bestFit="1" customWidth="1"/>
    <col min="6151" max="6151" width="17.6640625" style="1" bestFit="1" customWidth="1"/>
    <col min="6152" max="6152" width="17.44140625" style="1" bestFit="1" customWidth="1"/>
    <col min="6153" max="6153" width="15" style="1" bestFit="1" customWidth="1"/>
    <col min="6154" max="6154" width="6.44140625" style="1" customWidth="1"/>
    <col min="6155" max="6159" width="14.44140625" style="1" bestFit="1" customWidth="1"/>
    <col min="6160" max="6163" width="0" style="1" hidden="1" customWidth="1"/>
    <col min="6164" max="6164" width="17" style="1" bestFit="1" customWidth="1"/>
    <col min="6165" max="6168" width="0" style="1" hidden="1" customWidth="1"/>
    <col min="6169" max="6169" width="17" style="1" bestFit="1" customWidth="1"/>
    <col min="6170" max="6170" width="17.6640625" style="1" bestFit="1" customWidth="1"/>
    <col min="6171" max="6400" width="8.6640625" style="1"/>
    <col min="6401" max="6401" width="2.44140625" style="1" customWidth="1"/>
    <col min="6402" max="6402" width="11.33203125" style="1" customWidth="1"/>
    <col min="6403" max="6403" width="61.44140625" style="1" customWidth="1"/>
    <col min="6404" max="6404" width="15.44140625" style="1" bestFit="1" customWidth="1"/>
    <col min="6405" max="6405" width="17" style="1" customWidth="1"/>
    <col min="6406" max="6406" width="17" style="1" bestFit="1" customWidth="1"/>
    <col min="6407" max="6407" width="17.6640625" style="1" bestFit="1" customWidth="1"/>
    <col min="6408" max="6408" width="17.44140625" style="1" bestFit="1" customWidth="1"/>
    <col min="6409" max="6409" width="15" style="1" bestFit="1" customWidth="1"/>
    <col min="6410" max="6410" width="6.44140625" style="1" customWidth="1"/>
    <col min="6411" max="6415" width="14.44140625" style="1" bestFit="1" customWidth="1"/>
    <col min="6416" max="6419" width="0" style="1" hidden="1" customWidth="1"/>
    <col min="6420" max="6420" width="17" style="1" bestFit="1" customWidth="1"/>
    <col min="6421" max="6424" width="0" style="1" hidden="1" customWidth="1"/>
    <col min="6425" max="6425" width="17" style="1" bestFit="1" customWidth="1"/>
    <col min="6426" max="6426" width="17.6640625" style="1" bestFit="1" customWidth="1"/>
    <col min="6427" max="6656" width="8.6640625" style="1"/>
    <col min="6657" max="6657" width="2.44140625" style="1" customWidth="1"/>
    <col min="6658" max="6658" width="11.33203125" style="1" customWidth="1"/>
    <col min="6659" max="6659" width="61.44140625" style="1" customWidth="1"/>
    <col min="6660" max="6660" width="15.44140625" style="1" bestFit="1" customWidth="1"/>
    <col min="6661" max="6661" width="17" style="1" customWidth="1"/>
    <col min="6662" max="6662" width="17" style="1" bestFit="1" customWidth="1"/>
    <col min="6663" max="6663" width="17.6640625" style="1" bestFit="1" customWidth="1"/>
    <col min="6664" max="6664" width="17.44140625" style="1" bestFit="1" customWidth="1"/>
    <col min="6665" max="6665" width="15" style="1" bestFit="1" customWidth="1"/>
    <col min="6666" max="6666" width="6.44140625" style="1" customWidth="1"/>
    <col min="6667" max="6671" width="14.44140625" style="1" bestFit="1" customWidth="1"/>
    <col min="6672" max="6675" width="0" style="1" hidden="1" customWidth="1"/>
    <col min="6676" max="6676" width="17" style="1" bestFit="1" customWidth="1"/>
    <col min="6677" max="6680" width="0" style="1" hidden="1" customWidth="1"/>
    <col min="6681" max="6681" width="17" style="1" bestFit="1" customWidth="1"/>
    <col min="6682" max="6682" width="17.6640625" style="1" bestFit="1" customWidth="1"/>
    <col min="6683" max="6912" width="8.6640625" style="1"/>
    <col min="6913" max="6913" width="2.44140625" style="1" customWidth="1"/>
    <col min="6914" max="6914" width="11.33203125" style="1" customWidth="1"/>
    <col min="6915" max="6915" width="61.44140625" style="1" customWidth="1"/>
    <col min="6916" max="6916" width="15.44140625" style="1" bestFit="1" customWidth="1"/>
    <col min="6917" max="6917" width="17" style="1" customWidth="1"/>
    <col min="6918" max="6918" width="17" style="1" bestFit="1" customWidth="1"/>
    <col min="6919" max="6919" width="17.6640625" style="1" bestFit="1" customWidth="1"/>
    <col min="6920" max="6920" width="17.44140625" style="1" bestFit="1" customWidth="1"/>
    <col min="6921" max="6921" width="15" style="1" bestFit="1" customWidth="1"/>
    <col min="6922" max="6922" width="6.44140625" style="1" customWidth="1"/>
    <col min="6923" max="6927" width="14.44140625" style="1" bestFit="1" customWidth="1"/>
    <col min="6928" max="6931" width="0" style="1" hidden="1" customWidth="1"/>
    <col min="6932" max="6932" width="17" style="1" bestFit="1" customWidth="1"/>
    <col min="6933" max="6936" width="0" style="1" hidden="1" customWidth="1"/>
    <col min="6937" max="6937" width="17" style="1" bestFit="1" customWidth="1"/>
    <col min="6938" max="6938" width="17.6640625" style="1" bestFit="1" customWidth="1"/>
    <col min="6939" max="7168" width="8.6640625" style="1"/>
    <col min="7169" max="7169" width="2.44140625" style="1" customWidth="1"/>
    <col min="7170" max="7170" width="11.33203125" style="1" customWidth="1"/>
    <col min="7171" max="7171" width="61.44140625" style="1" customWidth="1"/>
    <col min="7172" max="7172" width="15.44140625" style="1" bestFit="1" customWidth="1"/>
    <col min="7173" max="7173" width="17" style="1" customWidth="1"/>
    <col min="7174" max="7174" width="17" style="1" bestFit="1" customWidth="1"/>
    <col min="7175" max="7175" width="17.6640625" style="1" bestFit="1" customWidth="1"/>
    <col min="7176" max="7176" width="17.44140625" style="1" bestFit="1" customWidth="1"/>
    <col min="7177" max="7177" width="15" style="1" bestFit="1" customWidth="1"/>
    <col min="7178" max="7178" width="6.44140625" style="1" customWidth="1"/>
    <col min="7179" max="7183" width="14.44140625" style="1" bestFit="1" customWidth="1"/>
    <col min="7184" max="7187" width="0" style="1" hidden="1" customWidth="1"/>
    <col min="7188" max="7188" width="17" style="1" bestFit="1" customWidth="1"/>
    <col min="7189" max="7192" width="0" style="1" hidden="1" customWidth="1"/>
    <col min="7193" max="7193" width="17" style="1" bestFit="1" customWidth="1"/>
    <col min="7194" max="7194" width="17.6640625" style="1" bestFit="1" customWidth="1"/>
    <col min="7195" max="7424" width="8.6640625" style="1"/>
    <col min="7425" max="7425" width="2.44140625" style="1" customWidth="1"/>
    <col min="7426" max="7426" width="11.33203125" style="1" customWidth="1"/>
    <col min="7427" max="7427" width="61.44140625" style="1" customWidth="1"/>
    <col min="7428" max="7428" width="15.44140625" style="1" bestFit="1" customWidth="1"/>
    <col min="7429" max="7429" width="17" style="1" customWidth="1"/>
    <col min="7430" max="7430" width="17" style="1" bestFit="1" customWidth="1"/>
    <col min="7431" max="7431" width="17.6640625" style="1" bestFit="1" customWidth="1"/>
    <col min="7432" max="7432" width="17.44140625" style="1" bestFit="1" customWidth="1"/>
    <col min="7433" max="7433" width="15" style="1" bestFit="1" customWidth="1"/>
    <col min="7434" max="7434" width="6.44140625" style="1" customWidth="1"/>
    <col min="7435" max="7439" width="14.44140625" style="1" bestFit="1" customWidth="1"/>
    <col min="7440" max="7443" width="0" style="1" hidden="1" customWidth="1"/>
    <col min="7444" max="7444" width="17" style="1" bestFit="1" customWidth="1"/>
    <col min="7445" max="7448" width="0" style="1" hidden="1" customWidth="1"/>
    <col min="7449" max="7449" width="17" style="1" bestFit="1" customWidth="1"/>
    <col min="7450" max="7450" width="17.6640625" style="1" bestFit="1" customWidth="1"/>
    <col min="7451" max="7680" width="8.6640625" style="1"/>
    <col min="7681" max="7681" width="2.44140625" style="1" customWidth="1"/>
    <col min="7682" max="7682" width="11.33203125" style="1" customWidth="1"/>
    <col min="7683" max="7683" width="61.44140625" style="1" customWidth="1"/>
    <col min="7684" max="7684" width="15.44140625" style="1" bestFit="1" customWidth="1"/>
    <col min="7685" max="7685" width="17" style="1" customWidth="1"/>
    <col min="7686" max="7686" width="17" style="1" bestFit="1" customWidth="1"/>
    <col min="7687" max="7687" width="17.6640625" style="1" bestFit="1" customWidth="1"/>
    <col min="7688" max="7688" width="17.44140625" style="1" bestFit="1" customWidth="1"/>
    <col min="7689" max="7689" width="15" style="1" bestFit="1" customWidth="1"/>
    <col min="7690" max="7690" width="6.44140625" style="1" customWidth="1"/>
    <col min="7691" max="7695" width="14.44140625" style="1" bestFit="1" customWidth="1"/>
    <col min="7696" max="7699" width="0" style="1" hidden="1" customWidth="1"/>
    <col min="7700" max="7700" width="17" style="1" bestFit="1" customWidth="1"/>
    <col min="7701" max="7704" width="0" style="1" hidden="1" customWidth="1"/>
    <col min="7705" max="7705" width="17" style="1" bestFit="1" customWidth="1"/>
    <col min="7706" max="7706" width="17.6640625" style="1" bestFit="1" customWidth="1"/>
    <col min="7707" max="7936" width="8.6640625" style="1"/>
    <col min="7937" max="7937" width="2.44140625" style="1" customWidth="1"/>
    <col min="7938" max="7938" width="11.33203125" style="1" customWidth="1"/>
    <col min="7939" max="7939" width="61.44140625" style="1" customWidth="1"/>
    <col min="7940" max="7940" width="15.44140625" style="1" bestFit="1" customWidth="1"/>
    <col min="7941" max="7941" width="17" style="1" customWidth="1"/>
    <col min="7942" max="7942" width="17" style="1" bestFit="1" customWidth="1"/>
    <col min="7943" max="7943" width="17.6640625" style="1" bestFit="1" customWidth="1"/>
    <col min="7944" max="7944" width="17.44140625" style="1" bestFit="1" customWidth="1"/>
    <col min="7945" max="7945" width="15" style="1" bestFit="1" customWidth="1"/>
    <col min="7946" max="7946" width="6.44140625" style="1" customWidth="1"/>
    <col min="7947" max="7951" width="14.44140625" style="1" bestFit="1" customWidth="1"/>
    <col min="7952" max="7955" width="0" style="1" hidden="1" customWidth="1"/>
    <col min="7956" max="7956" width="17" style="1" bestFit="1" customWidth="1"/>
    <col min="7957" max="7960" width="0" style="1" hidden="1" customWidth="1"/>
    <col min="7961" max="7961" width="17" style="1" bestFit="1" customWidth="1"/>
    <col min="7962" max="7962" width="17.6640625" style="1" bestFit="1" customWidth="1"/>
    <col min="7963" max="8192" width="8.6640625" style="1"/>
    <col min="8193" max="8193" width="2.44140625" style="1" customWidth="1"/>
    <col min="8194" max="8194" width="11.33203125" style="1" customWidth="1"/>
    <col min="8195" max="8195" width="61.44140625" style="1" customWidth="1"/>
    <col min="8196" max="8196" width="15.44140625" style="1" bestFit="1" customWidth="1"/>
    <col min="8197" max="8197" width="17" style="1" customWidth="1"/>
    <col min="8198" max="8198" width="17" style="1" bestFit="1" customWidth="1"/>
    <col min="8199" max="8199" width="17.6640625" style="1" bestFit="1" customWidth="1"/>
    <col min="8200" max="8200" width="17.44140625" style="1" bestFit="1" customWidth="1"/>
    <col min="8201" max="8201" width="15" style="1" bestFit="1" customWidth="1"/>
    <col min="8202" max="8202" width="6.44140625" style="1" customWidth="1"/>
    <col min="8203" max="8207" width="14.44140625" style="1" bestFit="1" customWidth="1"/>
    <col min="8208" max="8211" width="0" style="1" hidden="1" customWidth="1"/>
    <col min="8212" max="8212" width="17" style="1" bestFit="1" customWidth="1"/>
    <col min="8213" max="8216" width="0" style="1" hidden="1" customWidth="1"/>
    <col min="8217" max="8217" width="17" style="1" bestFit="1" customWidth="1"/>
    <col min="8218" max="8218" width="17.6640625" style="1" bestFit="1" customWidth="1"/>
    <col min="8219" max="8448" width="8.6640625" style="1"/>
    <col min="8449" max="8449" width="2.44140625" style="1" customWidth="1"/>
    <col min="8450" max="8450" width="11.33203125" style="1" customWidth="1"/>
    <col min="8451" max="8451" width="61.44140625" style="1" customWidth="1"/>
    <col min="8452" max="8452" width="15.44140625" style="1" bestFit="1" customWidth="1"/>
    <col min="8453" max="8453" width="17" style="1" customWidth="1"/>
    <col min="8454" max="8454" width="17" style="1" bestFit="1" customWidth="1"/>
    <col min="8455" max="8455" width="17.6640625" style="1" bestFit="1" customWidth="1"/>
    <col min="8456" max="8456" width="17.44140625" style="1" bestFit="1" customWidth="1"/>
    <col min="8457" max="8457" width="15" style="1" bestFit="1" customWidth="1"/>
    <col min="8458" max="8458" width="6.44140625" style="1" customWidth="1"/>
    <col min="8459" max="8463" width="14.44140625" style="1" bestFit="1" customWidth="1"/>
    <col min="8464" max="8467" width="0" style="1" hidden="1" customWidth="1"/>
    <col min="8468" max="8468" width="17" style="1" bestFit="1" customWidth="1"/>
    <col min="8469" max="8472" width="0" style="1" hidden="1" customWidth="1"/>
    <col min="8473" max="8473" width="17" style="1" bestFit="1" customWidth="1"/>
    <col min="8474" max="8474" width="17.6640625" style="1" bestFit="1" customWidth="1"/>
    <col min="8475" max="8704" width="8.6640625" style="1"/>
    <col min="8705" max="8705" width="2.44140625" style="1" customWidth="1"/>
    <col min="8706" max="8706" width="11.33203125" style="1" customWidth="1"/>
    <col min="8707" max="8707" width="61.44140625" style="1" customWidth="1"/>
    <col min="8708" max="8708" width="15.44140625" style="1" bestFit="1" customWidth="1"/>
    <col min="8709" max="8709" width="17" style="1" customWidth="1"/>
    <col min="8710" max="8710" width="17" style="1" bestFit="1" customWidth="1"/>
    <col min="8711" max="8711" width="17.6640625" style="1" bestFit="1" customWidth="1"/>
    <col min="8712" max="8712" width="17.44140625" style="1" bestFit="1" customWidth="1"/>
    <col min="8713" max="8713" width="15" style="1" bestFit="1" customWidth="1"/>
    <col min="8714" max="8714" width="6.44140625" style="1" customWidth="1"/>
    <col min="8715" max="8719" width="14.44140625" style="1" bestFit="1" customWidth="1"/>
    <col min="8720" max="8723" width="0" style="1" hidden="1" customWidth="1"/>
    <col min="8724" max="8724" width="17" style="1" bestFit="1" customWidth="1"/>
    <col min="8725" max="8728" width="0" style="1" hidden="1" customWidth="1"/>
    <col min="8729" max="8729" width="17" style="1" bestFit="1" customWidth="1"/>
    <col min="8730" max="8730" width="17.6640625" style="1" bestFit="1" customWidth="1"/>
    <col min="8731" max="8960" width="8.6640625" style="1"/>
    <col min="8961" max="8961" width="2.44140625" style="1" customWidth="1"/>
    <col min="8962" max="8962" width="11.33203125" style="1" customWidth="1"/>
    <col min="8963" max="8963" width="61.44140625" style="1" customWidth="1"/>
    <col min="8964" max="8964" width="15.44140625" style="1" bestFit="1" customWidth="1"/>
    <col min="8965" max="8965" width="17" style="1" customWidth="1"/>
    <col min="8966" max="8966" width="17" style="1" bestFit="1" customWidth="1"/>
    <col min="8967" max="8967" width="17.6640625" style="1" bestFit="1" customWidth="1"/>
    <col min="8968" max="8968" width="17.44140625" style="1" bestFit="1" customWidth="1"/>
    <col min="8969" max="8969" width="15" style="1" bestFit="1" customWidth="1"/>
    <col min="8970" max="8970" width="6.44140625" style="1" customWidth="1"/>
    <col min="8971" max="8975" width="14.44140625" style="1" bestFit="1" customWidth="1"/>
    <col min="8976" max="8979" width="0" style="1" hidden="1" customWidth="1"/>
    <col min="8980" max="8980" width="17" style="1" bestFit="1" customWidth="1"/>
    <col min="8981" max="8984" width="0" style="1" hidden="1" customWidth="1"/>
    <col min="8985" max="8985" width="17" style="1" bestFit="1" customWidth="1"/>
    <col min="8986" max="8986" width="17.6640625" style="1" bestFit="1" customWidth="1"/>
    <col min="8987" max="9216" width="8.6640625" style="1"/>
    <col min="9217" max="9217" width="2.44140625" style="1" customWidth="1"/>
    <col min="9218" max="9218" width="11.33203125" style="1" customWidth="1"/>
    <col min="9219" max="9219" width="61.44140625" style="1" customWidth="1"/>
    <col min="9220" max="9220" width="15.44140625" style="1" bestFit="1" customWidth="1"/>
    <col min="9221" max="9221" width="17" style="1" customWidth="1"/>
    <col min="9222" max="9222" width="17" style="1" bestFit="1" customWidth="1"/>
    <col min="9223" max="9223" width="17.6640625" style="1" bestFit="1" customWidth="1"/>
    <col min="9224" max="9224" width="17.44140625" style="1" bestFit="1" customWidth="1"/>
    <col min="9225" max="9225" width="15" style="1" bestFit="1" customWidth="1"/>
    <col min="9226" max="9226" width="6.44140625" style="1" customWidth="1"/>
    <col min="9227" max="9231" width="14.44140625" style="1" bestFit="1" customWidth="1"/>
    <col min="9232" max="9235" width="0" style="1" hidden="1" customWidth="1"/>
    <col min="9236" max="9236" width="17" style="1" bestFit="1" customWidth="1"/>
    <col min="9237" max="9240" width="0" style="1" hidden="1" customWidth="1"/>
    <col min="9241" max="9241" width="17" style="1" bestFit="1" customWidth="1"/>
    <col min="9242" max="9242" width="17.6640625" style="1" bestFit="1" customWidth="1"/>
    <col min="9243" max="9472" width="8.6640625" style="1"/>
    <col min="9473" max="9473" width="2.44140625" style="1" customWidth="1"/>
    <col min="9474" max="9474" width="11.33203125" style="1" customWidth="1"/>
    <col min="9475" max="9475" width="61.44140625" style="1" customWidth="1"/>
    <col min="9476" max="9476" width="15.44140625" style="1" bestFit="1" customWidth="1"/>
    <col min="9477" max="9477" width="17" style="1" customWidth="1"/>
    <col min="9478" max="9478" width="17" style="1" bestFit="1" customWidth="1"/>
    <col min="9479" max="9479" width="17.6640625" style="1" bestFit="1" customWidth="1"/>
    <col min="9480" max="9480" width="17.44140625" style="1" bestFit="1" customWidth="1"/>
    <col min="9481" max="9481" width="15" style="1" bestFit="1" customWidth="1"/>
    <col min="9482" max="9482" width="6.44140625" style="1" customWidth="1"/>
    <col min="9483" max="9487" width="14.44140625" style="1" bestFit="1" customWidth="1"/>
    <col min="9488" max="9491" width="0" style="1" hidden="1" customWidth="1"/>
    <col min="9492" max="9492" width="17" style="1" bestFit="1" customWidth="1"/>
    <col min="9493" max="9496" width="0" style="1" hidden="1" customWidth="1"/>
    <col min="9497" max="9497" width="17" style="1" bestFit="1" customWidth="1"/>
    <col min="9498" max="9498" width="17.6640625" style="1" bestFit="1" customWidth="1"/>
    <col min="9499" max="9728" width="8.6640625" style="1"/>
    <col min="9729" max="9729" width="2.44140625" style="1" customWidth="1"/>
    <col min="9730" max="9730" width="11.33203125" style="1" customWidth="1"/>
    <col min="9731" max="9731" width="61.44140625" style="1" customWidth="1"/>
    <col min="9732" max="9732" width="15.44140625" style="1" bestFit="1" customWidth="1"/>
    <col min="9733" max="9733" width="17" style="1" customWidth="1"/>
    <col min="9734" max="9734" width="17" style="1" bestFit="1" customWidth="1"/>
    <col min="9735" max="9735" width="17.6640625" style="1" bestFit="1" customWidth="1"/>
    <col min="9736" max="9736" width="17.44140625" style="1" bestFit="1" customWidth="1"/>
    <col min="9737" max="9737" width="15" style="1" bestFit="1" customWidth="1"/>
    <col min="9738" max="9738" width="6.44140625" style="1" customWidth="1"/>
    <col min="9739" max="9743" width="14.44140625" style="1" bestFit="1" customWidth="1"/>
    <col min="9744" max="9747" width="0" style="1" hidden="1" customWidth="1"/>
    <col min="9748" max="9748" width="17" style="1" bestFit="1" customWidth="1"/>
    <col min="9749" max="9752" width="0" style="1" hidden="1" customWidth="1"/>
    <col min="9753" max="9753" width="17" style="1" bestFit="1" customWidth="1"/>
    <col min="9754" max="9754" width="17.6640625" style="1" bestFit="1" customWidth="1"/>
    <col min="9755" max="9984" width="8.6640625" style="1"/>
    <col min="9985" max="9985" width="2.44140625" style="1" customWidth="1"/>
    <col min="9986" max="9986" width="11.33203125" style="1" customWidth="1"/>
    <col min="9987" max="9987" width="61.44140625" style="1" customWidth="1"/>
    <col min="9988" max="9988" width="15.44140625" style="1" bestFit="1" customWidth="1"/>
    <col min="9989" max="9989" width="17" style="1" customWidth="1"/>
    <col min="9990" max="9990" width="17" style="1" bestFit="1" customWidth="1"/>
    <col min="9991" max="9991" width="17.6640625" style="1" bestFit="1" customWidth="1"/>
    <col min="9992" max="9992" width="17.44140625" style="1" bestFit="1" customWidth="1"/>
    <col min="9993" max="9993" width="15" style="1" bestFit="1" customWidth="1"/>
    <col min="9994" max="9994" width="6.44140625" style="1" customWidth="1"/>
    <col min="9995" max="9999" width="14.44140625" style="1" bestFit="1" customWidth="1"/>
    <col min="10000" max="10003" width="0" style="1" hidden="1" customWidth="1"/>
    <col min="10004" max="10004" width="17" style="1" bestFit="1" customWidth="1"/>
    <col min="10005" max="10008" width="0" style="1" hidden="1" customWidth="1"/>
    <col min="10009" max="10009" width="17" style="1" bestFit="1" customWidth="1"/>
    <col min="10010" max="10010" width="17.6640625" style="1" bestFit="1" customWidth="1"/>
    <col min="10011" max="10240" width="8.6640625" style="1"/>
    <col min="10241" max="10241" width="2.44140625" style="1" customWidth="1"/>
    <col min="10242" max="10242" width="11.33203125" style="1" customWidth="1"/>
    <col min="10243" max="10243" width="61.44140625" style="1" customWidth="1"/>
    <col min="10244" max="10244" width="15.44140625" style="1" bestFit="1" customWidth="1"/>
    <col min="10245" max="10245" width="17" style="1" customWidth="1"/>
    <col min="10246" max="10246" width="17" style="1" bestFit="1" customWidth="1"/>
    <col min="10247" max="10247" width="17.6640625" style="1" bestFit="1" customWidth="1"/>
    <col min="10248" max="10248" width="17.44140625" style="1" bestFit="1" customWidth="1"/>
    <col min="10249" max="10249" width="15" style="1" bestFit="1" customWidth="1"/>
    <col min="10250" max="10250" width="6.44140625" style="1" customWidth="1"/>
    <col min="10251" max="10255" width="14.44140625" style="1" bestFit="1" customWidth="1"/>
    <col min="10256" max="10259" width="0" style="1" hidden="1" customWidth="1"/>
    <col min="10260" max="10260" width="17" style="1" bestFit="1" customWidth="1"/>
    <col min="10261" max="10264" width="0" style="1" hidden="1" customWidth="1"/>
    <col min="10265" max="10265" width="17" style="1" bestFit="1" customWidth="1"/>
    <col min="10266" max="10266" width="17.6640625" style="1" bestFit="1" customWidth="1"/>
    <col min="10267" max="10496" width="8.6640625" style="1"/>
    <col min="10497" max="10497" width="2.44140625" style="1" customWidth="1"/>
    <col min="10498" max="10498" width="11.33203125" style="1" customWidth="1"/>
    <col min="10499" max="10499" width="61.44140625" style="1" customWidth="1"/>
    <col min="10500" max="10500" width="15.44140625" style="1" bestFit="1" customWidth="1"/>
    <col min="10501" max="10501" width="17" style="1" customWidth="1"/>
    <col min="10502" max="10502" width="17" style="1" bestFit="1" customWidth="1"/>
    <col min="10503" max="10503" width="17.6640625" style="1" bestFit="1" customWidth="1"/>
    <col min="10504" max="10504" width="17.44140625" style="1" bestFit="1" customWidth="1"/>
    <col min="10505" max="10505" width="15" style="1" bestFit="1" customWidth="1"/>
    <col min="10506" max="10506" width="6.44140625" style="1" customWidth="1"/>
    <col min="10507" max="10511" width="14.44140625" style="1" bestFit="1" customWidth="1"/>
    <col min="10512" max="10515" width="0" style="1" hidden="1" customWidth="1"/>
    <col min="10516" max="10516" width="17" style="1" bestFit="1" customWidth="1"/>
    <col min="10517" max="10520" width="0" style="1" hidden="1" customWidth="1"/>
    <col min="10521" max="10521" width="17" style="1" bestFit="1" customWidth="1"/>
    <col min="10522" max="10522" width="17.6640625" style="1" bestFit="1" customWidth="1"/>
    <col min="10523" max="10752" width="8.6640625" style="1"/>
    <col min="10753" max="10753" width="2.44140625" style="1" customWidth="1"/>
    <col min="10754" max="10754" width="11.33203125" style="1" customWidth="1"/>
    <col min="10755" max="10755" width="61.44140625" style="1" customWidth="1"/>
    <col min="10756" max="10756" width="15.44140625" style="1" bestFit="1" customWidth="1"/>
    <col min="10757" max="10757" width="17" style="1" customWidth="1"/>
    <col min="10758" max="10758" width="17" style="1" bestFit="1" customWidth="1"/>
    <col min="10759" max="10759" width="17.6640625" style="1" bestFit="1" customWidth="1"/>
    <col min="10760" max="10760" width="17.44140625" style="1" bestFit="1" customWidth="1"/>
    <col min="10761" max="10761" width="15" style="1" bestFit="1" customWidth="1"/>
    <col min="10762" max="10762" width="6.44140625" style="1" customWidth="1"/>
    <col min="10763" max="10767" width="14.44140625" style="1" bestFit="1" customWidth="1"/>
    <col min="10768" max="10771" width="0" style="1" hidden="1" customWidth="1"/>
    <col min="10772" max="10772" width="17" style="1" bestFit="1" customWidth="1"/>
    <col min="10773" max="10776" width="0" style="1" hidden="1" customWidth="1"/>
    <col min="10777" max="10777" width="17" style="1" bestFit="1" customWidth="1"/>
    <col min="10778" max="10778" width="17.6640625" style="1" bestFit="1" customWidth="1"/>
    <col min="10779" max="11008" width="8.6640625" style="1"/>
    <col min="11009" max="11009" width="2.44140625" style="1" customWidth="1"/>
    <col min="11010" max="11010" width="11.33203125" style="1" customWidth="1"/>
    <col min="11011" max="11011" width="61.44140625" style="1" customWidth="1"/>
    <col min="11012" max="11012" width="15.44140625" style="1" bestFit="1" customWidth="1"/>
    <col min="11013" max="11013" width="17" style="1" customWidth="1"/>
    <col min="11014" max="11014" width="17" style="1" bestFit="1" customWidth="1"/>
    <col min="11015" max="11015" width="17.6640625" style="1" bestFit="1" customWidth="1"/>
    <col min="11016" max="11016" width="17.44140625" style="1" bestFit="1" customWidth="1"/>
    <col min="11017" max="11017" width="15" style="1" bestFit="1" customWidth="1"/>
    <col min="11018" max="11018" width="6.44140625" style="1" customWidth="1"/>
    <col min="11019" max="11023" width="14.44140625" style="1" bestFit="1" customWidth="1"/>
    <col min="11024" max="11027" width="0" style="1" hidden="1" customWidth="1"/>
    <col min="11028" max="11028" width="17" style="1" bestFit="1" customWidth="1"/>
    <col min="11029" max="11032" width="0" style="1" hidden="1" customWidth="1"/>
    <col min="11033" max="11033" width="17" style="1" bestFit="1" customWidth="1"/>
    <col min="11034" max="11034" width="17.6640625" style="1" bestFit="1" customWidth="1"/>
    <col min="11035" max="11264" width="8.6640625" style="1"/>
    <col min="11265" max="11265" width="2.44140625" style="1" customWidth="1"/>
    <col min="11266" max="11266" width="11.33203125" style="1" customWidth="1"/>
    <col min="11267" max="11267" width="61.44140625" style="1" customWidth="1"/>
    <col min="11268" max="11268" width="15.44140625" style="1" bestFit="1" customWidth="1"/>
    <col min="11269" max="11269" width="17" style="1" customWidth="1"/>
    <col min="11270" max="11270" width="17" style="1" bestFit="1" customWidth="1"/>
    <col min="11271" max="11271" width="17.6640625" style="1" bestFit="1" customWidth="1"/>
    <col min="11272" max="11272" width="17.44140625" style="1" bestFit="1" customWidth="1"/>
    <col min="11273" max="11273" width="15" style="1" bestFit="1" customWidth="1"/>
    <col min="11274" max="11274" width="6.44140625" style="1" customWidth="1"/>
    <col min="11275" max="11279" width="14.44140625" style="1" bestFit="1" customWidth="1"/>
    <col min="11280" max="11283" width="0" style="1" hidden="1" customWidth="1"/>
    <col min="11284" max="11284" width="17" style="1" bestFit="1" customWidth="1"/>
    <col min="11285" max="11288" width="0" style="1" hidden="1" customWidth="1"/>
    <col min="11289" max="11289" width="17" style="1" bestFit="1" customWidth="1"/>
    <col min="11290" max="11290" width="17.6640625" style="1" bestFit="1" customWidth="1"/>
    <col min="11291" max="11520" width="8.6640625" style="1"/>
    <col min="11521" max="11521" width="2.44140625" style="1" customWidth="1"/>
    <col min="11522" max="11522" width="11.33203125" style="1" customWidth="1"/>
    <col min="11523" max="11523" width="61.44140625" style="1" customWidth="1"/>
    <col min="11524" max="11524" width="15.44140625" style="1" bestFit="1" customWidth="1"/>
    <col min="11525" max="11525" width="17" style="1" customWidth="1"/>
    <col min="11526" max="11526" width="17" style="1" bestFit="1" customWidth="1"/>
    <col min="11527" max="11527" width="17.6640625" style="1" bestFit="1" customWidth="1"/>
    <col min="11528" max="11528" width="17.44140625" style="1" bestFit="1" customWidth="1"/>
    <col min="11529" max="11529" width="15" style="1" bestFit="1" customWidth="1"/>
    <col min="11530" max="11530" width="6.44140625" style="1" customWidth="1"/>
    <col min="11531" max="11535" width="14.44140625" style="1" bestFit="1" customWidth="1"/>
    <col min="11536" max="11539" width="0" style="1" hidden="1" customWidth="1"/>
    <col min="11540" max="11540" width="17" style="1" bestFit="1" customWidth="1"/>
    <col min="11541" max="11544" width="0" style="1" hidden="1" customWidth="1"/>
    <col min="11545" max="11545" width="17" style="1" bestFit="1" customWidth="1"/>
    <col min="11546" max="11546" width="17.6640625" style="1" bestFit="1" customWidth="1"/>
    <col min="11547" max="11776" width="8.6640625" style="1"/>
    <col min="11777" max="11777" width="2.44140625" style="1" customWidth="1"/>
    <col min="11778" max="11778" width="11.33203125" style="1" customWidth="1"/>
    <col min="11779" max="11779" width="61.44140625" style="1" customWidth="1"/>
    <col min="11780" max="11780" width="15.44140625" style="1" bestFit="1" customWidth="1"/>
    <col min="11781" max="11781" width="17" style="1" customWidth="1"/>
    <col min="11782" max="11782" width="17" style="1" bestFit="1" customWidth="1"/>
    <col min="11783" max="11783" width="17.6640625" style="1" bestFit="1" customWidth="1"/>
    <col min="11784" max="11784" width="17.44140625" style="1" bestFit="1" customWidth="1"/>
    <col min="11785" max="11785" width="15" style="1" bestFit="1" customWidth="1"/>
    <col min="11786" max="11786" width="6.44140625" style="1" customWidth="1"/>
    <col min="11787" max="11791" width="14.44140625" style="1" bestFit="1" customWidth="1"/>
    <col min="11792" max="11795" width="0" style="1" hidden="1" customWidth="1"/>
    <col min="11796" max="11796" width="17" style="1" bestFit="1" customWidth="1"/>
    <col min="11797" max="11800" width="0" style="1" hidden="1" customWidth="1"/>
    <col min="11801" max="11801" width="17" style="1" bestFit="1" customWidth="1"/>
    <col min="11802" max="11802" width="17.6640625" style="1" bestFit="1" customWidth="1"/>
    <col min="11803" max="12032" width="8.6640625" style="1"/>
    <col min="12033" max="12033" width="2.44140625" style="1" customWidth="1"/>
    <col min="12034" max="12034" width="11.33203125" style="1" customWidth="1"/>
    <col min="12035" max="12035" width="61.44140625" style="1" customWidth="1"/>
    <col min="12036" max="12036" width="15.44140625" style="1" bestFit="1" customWidth="1"/>
    <col min="12037" max="12037" width="17" style="1" customWidth="1"/>
    <col min="12038" max="12038" width="17" style="1" bestFit="1" customWidth="1"/>
    <col min="12039" max="12039" width="17.6640625" style="1" bestFit="1" customWidth="1"/>
    <col min="12040" max="12040" width="17.44140625" style="1" bestFit="1" customWidth="1"/>
    <col min="12041" max="12041" width="15" style="1" bestFit="1" customWidth="1"/>
    <col min="12042" max="12042" width="6.44140625" style="1" customWidth="1"/>
    <col min="12043" max="12047" width="14.44140625" style="1" bestFit="1" customWidth="1"/>
    <col min="12048" max="12051" width="0" style="1" hidden="1" customWidth="1"/>
    <col min="12052" max="12052" width="17" style="1" bestFit="1" customWidth="1"/>
    <col min="12053" max="12056" width="0" style="1" hidden="1" customWidth="1"/>
    <col min="12057" max="12057" width="17" style="1" bestFit="1" customWidth="1"/>
    <col min="12058" max="12058" width="17.6640625" style="1" bestFit="1" customWidth="1"/>
    <col min="12059" max="12288" width="8.6640625" style="1"/>
    <col min="12289" max="12289" width="2.44140625" style="1" customWidth="1"/>
    <col min="12290" max="12290" width="11.33203125" style="1" customWidth="1"/>
    <col min="12291" max="12291" width="61.44140625" style="1" customWidth="1"/>
    <col min="12292" max="12292" width="15.44140625" style="1" bestFit="1" customWidth="1"/>
    <col min="12293" max="12293" width="17" style="1" customWidth="1"/>
    <col min="12294" max="12294" width="17" style="1" bestFit="1" customWidth="1"/>
    <col min="12295" max="12295" width="17.6640625" style="1" bestFit="1" customWidth="1"/>
    <col min="12296" max="12296" width="17.44140625" style="1" bestFit="1" customWidth="1"/>
    <col min="12297" max="12297" width="15" style="1" bestFit="1" customWidth="1"/>
    <col min="12298" max="12298" width="6.44140625" style="1" customWidth="1"/>
    <col min="12299" max="12303" width="14.44140625" style="1" bestFit="1" customWidth="1"/>
    <col min="12304" max="12307" width="0" style="1" hidden="1" customWidth="1"/>
    <col min="12308" max="12308" width="17" style="1" bestFit="1" customWidth="1"/>
    <col min="12309" max="12312" width="0" style="1" hidden="1" customWidth="1"/>
    <col min="12313" max="12313" width="17" style="1" bestFit="1" customWidth="1"/>
    <col min="12314" max="12314" width="17.6640625" style="1" bestFit="1" customWidth="1"/>
    <col min="12315" max="12544" width="8.6640625" style="1"/>
    <col min="12545" max="12545" width="2.44140625" style="1" customWidth="1"/>
    <col min="12546" max="12546" width="11.33203125" style="1" customWidth="1"/>
    <col min="12547" max="12547" width="61.44140625" style="1" customWidth="1"/>
    <col min="12548" max="12548" width="15.44140625" style="1" bestFit="1" customWidth="1"/>
    <col min="12549" max="12549" width="17" style="1" customWidth="1"/>
    <col min="12550" max="12550" width="17" style="1" bestFit="1" customWidth="1"/>
    <col min="12551" max="12551" width="17.6640625" style="1" bestFit="1" customWidth="1"/>
    <col min="12552" max="12552" width="17.44140625" style="1" bestFit="1" customWidth="1"/>
    <col min="12553" max="12553" width="15" style="1" bestFit="1" customWidth="1"/>
    <col min="12554" max="12554" width="6.44140625" style="1" customWidth="1"/>
    <col min="12555" max="12559" width="14.44140625" style="1" bestFit="1" customWidth="1"/>
    <col min="12560" max="12563" width="0" style="1" hidden="1" customWidth="1"/>
    <col min="12564" max="12564" width="17" style="1" bestFit="1" customWidth="1"/>
    <col min="12565" max="12568" width="0" style="1" hidden="1" customWidth="1"/>
    <col min="12569" max="12569" width="17" style="1" bestFit="1" customWidth="1"/>
    <col min="12570" max="12570" width="17.6640625" style="1" bestFit="1" customWidth="1"/>
    <col min="12571" max="12800" width="8.6640625" style="1"/>
    <col min="12801" max="12801" width="2.44140625" style="1" customWidth="1"/>
    <col min="12802" max="12802" width="11.33203125" style="1" customWidth="1"/>
    <col min="12803" max="12803" width="61.44140625" style="1" customWidth="1"/>
    <col min="12804" max="12804" width="15.44140625" style="1" bestFit="1" customWidth="1"/>
    <col min="12805" max="12805" width="17" style="1" customWidth="1"/>
    <col min="12806" max="12806" width="17" style="1" bestFit="1" customWidth="1"/>
    <col min="12807" max="12807" width="17.6640625" style="1" bestFit="1" customWidth="1"/>
    <col min="12808" max="12808" width="17.44140625" style="1" bestFit="1" customWidth="1"/>
    <col min="12809" max="12809" width="15" style="1" bestFit="1" customWidth="1"/>
    <col min="12810" max="12810" width="6.44140625" style="1" customWidth="1"/>
    <col min="12811" max="12815" width="14.44140625" style="1" bestFit="1" customWidth="1"/>
    <col min="12816" max="12819" width="0" style="1" hidden="1" customWidth="1"/>
    <col min="12820" max="12820" width="17" style="1" bestFit="1" customWidth="1"/>
    <col min="12821" max="12824" width="0" style="1" hidden="1" customWidth="1"/>
    <col min="12825" max="12825" width="17" style="1" bestFit="1" customWidth="1"/>
    <col min="12826" max="12826" width="17.6640625" style="1" bestFit="1" customWidth="1"/>
    <col min="12827" max="13056" width="8.6640625" style="1"/>
    <col min="13057" max="13057" width="2.44140625" style="1" customWidth="1"/>
    <col min="13058" max="13058" width="11.33203125" style="1" customWidth="1"/>
    <col min="13059" max="13059" width="61.44140625" style="1" customWidth="1"/>
    <col min="13060" max="13060" width="15.44140625" style="1" bestFit="1" customWidth="1"/>
    <col min="13061" max="13061" width="17" style="1" customWidth="1"/>
    <col min="13062" max="13062" width="17" style="1" bestFit="1" customWidth="1"/>
    <col min="13063" max="13063" width="17.6640625" style="1" bestFit="1" customWidth="1"/>
    <col min="13064" max="13064" width="17.44140625" style="1" bestFit="1" customWidth="1"/>
    <col min="13065" max="13065" width="15" style="1" bestFit="1" customWidth="1"/>
    <col min="13066" max="13066" width="6.44140625" style="1" customWidth="1"/>
    <col min="13067" max="13071" width="14.44140625" style="1" bestFit="1" customWidth="1"/>
    <col min="13072" max="13075" width="0" style="1" hidden="1" customWidth="1"/>
    <col min="13076" max="13076" width="17" style="1" bestFit="1" customWidth="1"/>
    <col min="13077" max="13080" width="0" style="1" hidden="1" customWidth="1"/>
    <col min="13081" max="13081" width="17" style="1" bestFit="1" customWidth="1"/>
    <col min="13082" max="13082" width="17.6640625" style="1" bestFit="1" customWidth="1"/>
    <col min="13083" max="13312" width="8.6640625" style="1"/>
    <col min="13313" max="13313" width="2.44140625" style="1" customWidth="1"/>
    <col min="13314" max="13314" width="11.33203125" style="1" customWidth="1"/>
    <col min="13315" max="13315" width="61.44140625" style="1" customWidth="1"/>
    <col min="13316" max="13316" width="15.44140625" style="1" bestFit="1" customWidth="1"/>
    <col min="13317" max="13317" width="17" style="1" customWidth="1"/>
    <col min="13318" max="13318" width="17" style="1" bestFit="1" customWidth="1"/>
    <col min="13319" max="13319" width="17.6640625" style="1" bestFit="1" customWidth="1"/>
    <col min="13320" max="13320" width="17.44140625" style="1" bestFit="1" customWidth="1"/>
    <col min="13321" max="13321" width="15" style="1" bestFit="1" customWidth="1"/>
    <col min="13322" max="13322" width="6.44140625" style="1" customWidth="1"/>
    <col min="13323" max="13327" width="14.44140625" style="1" bestFit="1" customWidth="1"/>
    <col min="13328" max="13331" width="0" style="1" hidden="1" customWidth="1"/>
    <col min="13332" max="13332" width="17" style="1" bestFit="1" customWidth="1"/>
    <col min="13333" max="13336" width="0" style="1" hidden="1" customWidth="1"/>
    <col min="13337" max="13337" width="17" style="1" bestFit="1" customWidth="1"/>
    <col min="13338" max="13338" width="17.6640625" style="1" bestFit="1" customWidth="1"/>
    <col min="13339" max="13568" width="8.6640625" style="1"/>
    <col min="13569" max="13569" width="2.44140625" style="1" customWidth="1"/>
    <col min="13570" max="13570" width="11.33203125" style="1" customWidth="1"/>
    <col min="13571" max="13571" width="61.44140625" style="1" customWidth="1"/>
    <col min="13572" max="13572" width="15.44140625" style="1" bestFit="1" customWidth="1"/>
    <col min="13573" max="13573" width="17" style="1" customWidth="1"/>
    <col min="13574" max="13574" width="17" style="1" bestFit="1" customWidth="1"/>
    <col min="13575" max="13575" width="17.6640625" style="1" bestFit="1" customWidth="1"/>
    <col min="13576" max="13576" width="17.44140625" style="1" bestFit="1" customWidth="1"/>
    <col min="13577" max="13577" width="15" style="1" bestFit="1" customWidth="1"/>
    <col min="13578" max="13578" width="6.44140625" style="1" customWidth="1"/>
    <col min="13579" max="13583" width="14.44140625" style="1" bestFit="1" customWidth="1"/>
    <col min="13584" max="13587" width="0" style="1" hidden="1" customWidth="1"/>
    <col min="13588" max="13588" width="17" style="1" bestFit="1" customWidth="1"/>
    <col min="13589" max="13592" width="0" style="1" hidden="1" customWidth="1"/>
    <col min="13593" max="13593" width="17" style="1" bestFit="1" customWidth="1"/>
    <col min="13594" max="13594" width="17.6640625" style="1" bestFit="1" customWidth="1"/>
    <col min="13595" max="13824" width="8.6640625" style="1"/>
    <col min="13825" max="13825" width="2.44140625" style="1" customWidth="1"/>
    <col min="13826" max="13826" width="11.33203125" style="1" customWidth="1"/>
    <col min="13827" max="13827" width="61.44140625" style="1" customWidth="1"/>
    <col min="13828" max="13828" width="15.44140625" style="1" bestFit="1" customWidth="1"/>
    <col min="13829" max="13829" width="17" style="1" customWidth="1"/>
    <col min="13830" max="13830" width="17" style="1" bestFit="1" customWidth="1"/>
    <col min="13831" max="13831" width="17.6640625" style="1" bestFit="1" customWidth="1"/>
    <col min="13832" max="13832" width="17.44140625" style="1" bestFit="1" customWidth="1"/>
    <col min="13833" max="13833" width="15" style="1" bestFit="1" customWidth="1"/>
    <col min="13834" max="13834" width="6.44140625" style="1" customWidth="1"/>
    <col min="13835" max="13839" width="14.44140625" style="1" bestFit="1" customWidth="1"/>
    <col min="13840" max="13843" width="0" style="1" hidden="1" customWidth="1"/>
    <col min="13844" max="13844" width="17" style="1" bestFit="1" customWidth="1"/>
    <col min="13845" max="13848" width="0" style="1" hidden="1" customWidth="1"/>
    <col min="13849" max="13849" width="17" style="1" bestFit="1" customWidth="1"/>
    <col min="13850" max="13850" width="17.6640625" style="1" bestFit="1" customWidth="1"/>
    <col min="13851" max="14080" width="8.6640625" style="1"/>
    <col min="14081" max="14081" width="2.44140625" style="1" customWidth="1"/>
    <col min="14082" max="14082" width="11.33203125" style="1" customWidth="1"/>
    <col min="14083" max="14083" width="61.44140625" style="1" customWidth="1"/>
    <col min="14084" max="14084" width="15.44140625" style="1" bestFit="1" customWidth="1"/>
    <col min="14085" max="14085" width="17" style="1" customWidth="1"/>
    <col min="14086" max="14086" width="17" style="1" bestFit="1" customWidth="1"/>
    <col min="14087" max="14087" width="17.6640625" style="1" bestFit="1" customWidth="1"/>
    <col min="14088" max="14088" width="17.44140625" style="1" bestFit="1" customWidth="1"/>
    <col min="14089" max="14089" width="15" style="1" bestFit="1" customWidth="1"/>
    <col min="14090" max="14090" width="6.44140625" style="1" customWidth="1"/>
    <col min="14091" max="14095" width="14.44140625" style="1" bestFit="1" customWidth="1"/>
    <col min="14096" max="14099" width="0" style="1" hidden="1" customWidth="1"/>
    <col min="14100" max="14100" width="17" style="1" bestFit="1" customWidth="1"/>
    <col min="14101" max="14104" width="0" style="1" hidden="1" customWidth="1"/>
    <col min="14105" max="14105" width="17" style="1" bestFit="1" customWidth="1"/>
    <col min="14106" max="14106" width="17.6640625" style="1" bestFit="1" customWidth="1"/>
    <col min="14107" max="14336" width="8.6640625" style="1"/>
    <col min="14337" max="14337" width="2.44140625" style="1" customWidth="1"/>
    <col min="14338" max="14338" width="11.33203125" style="1" customWidth="1"/>
    <col min="14339" max="14339" width="61.44140625" style="1" customWidth="1"/>
    <col min="14340" max="14340" width="15.44140625" style="1" bestFit="1" customWidth="1"/>
    <col min="14341" max="14341" width="17" style="1" customWidth="1"/>
    <col min="14342" max="14342" width="17" style="1" bestFit="1" customWidth="1"/>
    <col min="14343" max="14343" width="17.6640625" style="1" bestFit="1" customWidth="1"/>
    <col min="14344" max="14344" width="17.44140625" style="1" bestFit="1" customWidth="1"/>
    <col min="14345" max="14345" width="15" style="1" bestFit="1" customWidth="1"/>
    <col min="14346" max="14346" width="6.44140625" style="1" customWidth="1"/>
    <col min="14347" max="14351" width="14.44140625" style="1" bestFit="1" customWidth="1"/>
    <col min="14352" max="14355" width="0" style="1" hidden="1" customWidth="1"/>
    <col min="14356" max="14356" width="17" style="1" bestFit="1" customWidth="1"/>
    <col min="14357" max="14360" width="0" style="1" hidden="1" customWidth="1"/>
    <col min="14361" max="14361" width="17" style="1" bestFit="1" customWidth="1"/>
    <col min="14362" max="14362" width="17.6640625" style="1" bestFit="1" customWidth="1"/>
    <col min="14363" max="14592" width="8.6640625" style="1"/>
    <col min="14593" max="14593" width="2.44140625" style="1" customWidth="1"/>
    <col min="14594" max="14594" width="11.33203125" style="1" customWidth="1"/>
    <col min="14595" max="14595" width="61.44140625" style="1" customWidth="1"/>
    <col min="14596" max="14596" width="15.44140625" style="1" bestFit="1" customWidth="1"/>
    <col min="14597" max="14597" width="17" style="1" customWidth="1"/>
    <col min="14598" max="14598" width="17" style="1" bestFit="1" customWidth="1"/>
    <col min="14599" max="14599" width="17.6640625" style="1" bestFit="1" customWidth="1"/>
    <col min="14600" max="14600" width="17.44140625" style="1" bestFit="1" customWidth="1"/>
    <col min="14601" max="14601" width="15" style="1" bestFit="1" customWidth="1"/>
    <col min="14602" max="14602" width="6.44140625" style="1" customWidth="1"/>
    <col min="14603" max="14607" width="14.44140625" style="1" bestFit="1" customWidth="1"/>
    <col min="14608" max="14611" width="0" style="1" hidden="1" customWidth="1"/>
    <col min="14612" max="14612" width="17" style="1" bestFit="1" customWidth="1"/>
    <col min="14613" max="14616" width="0" style="1" hidden="1" customWidth="1"/>
    <col min="14617" max="14617" width="17" style="1" bestFit="1" customWidth="1"/>
    <col min="14618" max="14618" width="17.6640625" style="1" bestFit="1" customWidth="1"/>
    <col min="14619" max="14848" width="8.6640625" style="1"/>
    <col min="14849" max="14849" width="2.44140625" style="1" customWidth="1"/>
    <col min="14850" max="14850" width="11.33203125" style="1" customWidth="1"/>
    <col min="14851" max="14851" width="61.44140625" style="1" customWidth="1"/>
    <col min="14852" max="14852" width="15.44140625" style="1" bestFit="1" customWidth="1"/>
    <col min="14853" max="14853" width="17" style="1" customWidth="1"/>
    <col min="14854" max="14854" width="17" style="1" bestFit="1" customWidth="1"/>
    <col min="14855" max="14855" width="17.6640625" style="1" bestFit="1" customWidth="1"/>
    <col min="14856" max="14856" width="17.44140625" style="1" bestFit="1" customWidth="1"/>
    <col min="14857" max="14857" width="15" style="1" bestFit="1" customWidth="1"/>
    <col min="14858" max="14858" width="6.44140625" style="1" customWidth="1"/>
    <col min="14859" max="14863" width="14.44140625" style="1" bestFit="1" customWidth="1"/>
    <col min="14864" max="14867" width="0" style="1" hidden="1" customWidth="1"/>
    <col min="14868" max="14868" width="17" style="1" bestFit="1" customWidth="1"/>
    <col min="14869" max="14872" width="0" style="1" hidden="1" customWidth="1"/>
    <col min="14873" max="14873" width="17" style="1" bestFit="1" customWidth="1"/>
    <col min="14874" max="14874" width="17.6640625" style="1" bestFit="1" customWidth="1"/>
    <col min="14875" max="15104" width="8.6640625" style="1"/>
    <col min="15105" max="15105" width="2.44140625" style="1" customWidth="1"/>
    <col min="15106" max="15106" width="11.33203125" style="1" customWidth="1"/>
    <col min="15107" max="15107" width="61.44140625" style="1" customWidth="1"/>
    <col min="15108" max="15108" width="15.44140625" style="1" bestFit="1" customWidth="1"/>
    <col min="15109" max="15109" width="17" style="1" customWidth="1"/>
    <col min="15110" max="15110" width="17" style="1" bestFit="1" customWidth="1"/>
    <col min="15111" max="15111" width="17.6640625" style="1" bestFit="1" customWidth="1"/>
    <col min="15112" max="15112" width="17.44140625" style="1" bestFit="1" customWidth="1"/>
    <col min="15113" max="15113" width="15" style="1" bestFit="1" customWidth="1"/>
    <col min="15114" max="15114" width="6.44140625" style="1" customWidth="1"/>
    <col min="15115" max="15119" width="14.44140625" style="1" bestFit="1" customWidth="1"/>
    <col min="15120" max="15123" width="0" style="1" hidden="1" customWidth="1"/>
    <col min="15124" max="15124" width="17" style="1" bestFit="1" customWidth="1"/>
    <col min="15125" max="15128" width="0" style="1" hidden="1" customWidth="1"/>
    <col min="15129" max="15129" width="17" style="1" bestFit="1" customWidth="1"/>
    <col min="15130" max="15130" width="17.6640625" style="1" bestFit="1" customWidth="1"/>
    <col min="15131" max="15360" width="8.6640625" style="1"/>
    <col min="15361" max="15361" width="2.44140625" style="1" customWidth="1"/>
    <col min="15362" max="15362" width="11.33203125" style="1" customWidth="1"/>
    <col min="15363" max="15363" width="61.44140625" style="1" customWidth="1"/>
    <col min="15364" max="15364" width="15.44140625" style="1" bestFit="1" customWidth="1"/>
    <col min="15365" max="15365" width="17" style="1" customWidth="1"/>
    <col min="15366" max="15366" width="17" style="1" bestFit="1" customWidth="1"/>
    <col min="15367" max="15367" width="17.6640625" style="1" bestFit="1" customWidth="1"/>
    <col min="15368" max="15368" width="17.44140625" style="1" bestFit="1" customWidth="1"/>
    <col min="15369" max="15369" width="15" style="1" bestFit="1" customWidth="1"/>
    <col min="15370" max="15370" width="6.44140625" style="1" customWidth="1"/>
    <col min="15371" max="15375" width="14.44140625" style="1" bestFit="1" customWidth="1"/>
    <col min="15376" max="15379" width="0" style="1" hidden="1" customWidth="1"/>
    <col min="15380" max="15380" width="17" style="1" bestFit="1" customWidth="1"/>
    <col min="15381" max="15384" width="0" style="1" hidden="1" customWidth="1"/>
    <col min="15385" max="15385" width="17" style="1" bestFit="1" customWidth="1"/>
    <col min="15386" max="15386" width="17.6640625" style="1" bestFit="1" customWidth="1"/>
    <col min="15387" max="15616" width="8.6640625" style="1"/>
    <col min="15617" max="15617" width="2.44140625" style="1" customWidth="1"/>
    <col min="15618" max="15618" width="11.33203125" style="1" customWidth="1"/>
    <col min="15619" max="15619" width="61.44140625" style="1" customWidth="1"/>
    <col min="15620" max="15620" width="15.44140625" style="1" bestFit="1" customWidth="1"/>
    <col min="15621" max="15621" width="17" style="1" customWidth="1"/>
    <col min="15622" max="15622" width="17" style="1" bestFit="1" customWidth="1"/>
    <col min="15623" max="15623" width="17.6640625" style="1" bestFit="1" customWidth="1"/>
    <col min="15624" max="15624" width="17.44140625" style="1" bestFit="1" customWidth="1"/>
    <col min="15625" max="15625" width="15" style="1" bestFit="1" customWidth="1"/>
    <col min="15626" max="15626" width="6.44140625" style="1" customWidth="1"/>
    <col min="15627" max="15631" width="14.44140625" style="1" bestFit="1" customWidth="1"/>
    <col min="15632" max="15635" width="0" style="1" hidden="1" customWidth="1"/>
    <col min="15636" max="15636" width="17" style="1" bestFit="1" customWidth="1"/>
    <col min="15637" max="15640" width="0" style="1" hidden="1" customWidth="1"/>
    <col min="15641" max="15641" width="17" style="1" bestFit="1" customWidth="1"/>
    <col min="15642" max="15642" width="17.6640625" style="1" bestFit="1" customWidth="1"/>
    <col min="15643" max="15872" width="8.6640625" style="1"/>
    <col min="15873" max="15873" width="2.44140625" style="1" customWidth="1"/>
    <col min="15874" max="15874" width="11.33203125" style="1" customWidth="1"/>
    <col min="15875" max="15875" width="61.44140625" style="1" customWidth="1"/>
    <col min="15876" max="15876" width="15.44140625" style="1" bestFit="1" customWidth="1"/>
    <col min="15877" max="15877" width="17" style="1" customWidth="1"/>
    <col min="15878" max="15878" width="17" style="1" bestFit="1" customWidth="1"/>
    <col min="15879" max="15879" width="17.6640625" style="1" bestFit="1" customWidth="1"/>
    <col min="15880" max="15880" width="17.44140625" style="1" bestFit="1" customWidth="1"/>
    <col min="15881" max="15881" width="15" style="1" bestFit="1" customWidth="1"/>
    <col min="15882" max="15882" width="6.44140625" style="1" customWidth="1"/>
    <col min="15883" max="15887" width="14.44140625" style="1" bestFit="1" customWidth="1"/>
    <col min="15888" max="15891" width="0" style="1" hidden="1" customWidth="1"/>
    <col min="15892" max="15892" width="17" style="1" bestFit="1" customWidth="1"/>
    <col min="15893" max="15896" width="0" style="1" hidden="1" customWidth="1"/>
    <col min="15897" max="15897" width="17" style="1" bestFit="1" customWidth="1"/>
    <col min="15898" max="15898" width="17.6640625" style="1" bestFit="1" customWidth="1"/>
    <col min="15899" max="16128" width="8.6640625" style="1"/>
    <col min="16129" max="16129" width="2.44140625" style="1" customWidth="1"/>
    <col min="16130" max="16130" width="11.33203125" style="1" customWidth="1"/>
    <col min="16131" max="16131" width="61.44140625" style="1" customWidth="1"/>
    <col min="16132" max="16132" width="15.44140625" style="1" bestFit="1" customWidth="1"/>
    <col min="16133" max="16133" width="17" style="1" customWidth="1"/>
    <col min="16134" max="16134" width="17" style="1" bestFit="1" customWidth="1"/>
    <col min="16135" max="16135" width="17.6640625" style="1" bestFit="1" customWidth="1"/>
    <col min="16136" max="16136" width="17.44140625" style="1" bestFit="1" customWidth="1"/>
    <col min="16137" max="16137" width="15" style="1" bestFit="1" customWidth="1"/>
    <col min="16138" max="16138" width="6.44140625" style="1" customWidth="1"/>
    <col min="16139" max="16143" width="14.44140625" style="1" bestFit="1" customWidth="1"/>
    <col min="16144" max="16147" width="0" style="1" hidden="1" customWidth="1"/>
    <col min="16148" max="16148" width="17" style="1" bestFit="1" customWidth="1"/>
    <col min="16149" max="16152" width="0" style="1" hidden="1" customWidth="1"/>
    <col min="16153" max="16153" width="17" style="1" bestFit="1" customWidth="1"/>
    <col min="16154" max="16154" width="17.6640625" style="1" bestFit="1" customWidth="1"/>
    <col min="16155" max="16384" width="8.6640625" style="1"/>
  </cols>
  <sheetData>
    <row r="4" spans="2:26" ht="61.5" customHeight="1" x14ac:dyDescent="0.3">
      <c r="B4" s="48">
        <v>5</v>
      </c>
      <c r="C4" s="65" t="s">
        <v>113</v>
      </c>
      <c r="D4" s="62" t="s">
        <v>26</v>
      </c>
      <c r="E4" s="62" t="s">
        <v>27</v>
      </c>
      <c r="F4" s="62" t="s">
        <v>28</v>
      </c>
      <c r="G4" s="62" t="s">
        <v>9</v>
      </c>
      <c r="P4" s="33">
        <f>O35*1.1</f>
        <v>1895414.4000000001</v>
      </c>
    </row>
    <row r="5" spans="2:26" ht="41.25" customHeight="1" x14ac:dyDescent="0.3">
      <c r="B5" s="51" t="s">
        <v>512</v>
      </c>
      <c r="C5" s="66" t="s">
        <v>519</v>
      </c>
      <c r="D5" s="67">
        <f>O30</f>
        <v>158711.11111111109</v>
      </c>
      <c r="E5" s="67">
        <f>T30</f>
        <v>174582.22222222222</v>
      </c>
      <c r="F5" s="67">
        <f>Y30</f>
        <v>192040.44444444447</v>
      </c>
      <c r="G5" s="67">
        <f>D5+E5+F5</f>
        <v>525333.77777777775</v>
      </c>
    </row>
    <row r="6" spans="2:26" ht="30.75" customHeight="1" x14ac:dyDescent="0.3">
      <c r="B6" s="51" t="s">
        <v>513</v>
      </c>
      <c r="C6" s="66" t="s">
        <v>503</v>
      </c>
      <c r="D6" s="67">
        <f>O38</f>
        <v>2453904</v>
      </c>
      <c r="E6" s="67">
        <f>T38</f>
        <v>3297690</v>
      </c>
      <c r="F6" s="67">
        <f>Y38</f>
        <v>4285694.16</v>
      </c>
      <c r="G6" s="67">
        <f>D6+E6+F6</f>
        <v>10037288.16</v>
      </c>
    </row>
    <row r="7" spans="2:26" x14ac:dyDescent="0.3">
      <c r="B7" s="51"/>
      <c r="C7" s="68" t="s">
        <v>10</v>
      </c>
      <c r="D7" s="69">
        <f>D5+D6</f>
        <v>2612615.111111111</v>
      </c>
      <c r="E7" s="69">
        <f>E5+E6</f>
        <v>3472272.222222222</v>
      </c>
      <c r="F7" s="69">
        <f>F5+F6</f>
        <v>4477734.6044444442</v>
      </c>
      <c r="G7" s="69">
        <f>G5+G6</f>
        <v>10562621.937777778</v>
      </c>
    </row>
    <row r="8" spans="2:26" s="592" customFormat="1" x14ac:dyDescent="0.3">
      <c r="B8" s="589"/>
      <c r="C8" s="590"/>
      <c r="D8" s="591"/>
      <c r="E8" s="591"/>
      <c r="F8" s="591"/>
      <c r="G8" s="591"/>
      <c r="I8" s="593"/>
    </row>
    <row r="9" spans="2:26" x14ac:dyDescent="0.3">
      <c r="B9" s="806" t="s">
        <v>34</v>
      </c>
      <c r="C9" s="807"/>
      <c r="D9" s="807"/>
      <c r="E9" s="807"/>
      <c r="F9" s="807"/>
      <c r="G9" s="807"/>
      <c r="H9" s="807"/>
      <c r="I9" s="807"/>
    </row>
    <row r="10" spans="2:26" x14ac:dyDescent="0.3">
      <c r="B10" s="3"/>
      <c r="C10" s="3"/>
      <c r="D10" s="3"/>
      <c r="E10" s="3"/>
      <c r="F10" s="3"/>
      <c r="G10" s="3"/>
      <c r="H10" s="3"/>
      <c r="I10" s="464"/>
      <c r="J10" s="4"/>
      <c r="K10" s="841" t="s">
        <v>26</v>
      </c>
      <c r="L10" s="841"/>
      <c r="M10" s="841"/>
      <c r="N10" s="841"/>
      <c r="O10" s="520" t="s">
        <v>26</v>
      </c>
      <c r="P10" s="843" t="s">
        <v>27</v>
      </c>
      <c r="Q10" s="844"/>
      <c r="R10" s="844"/>
      <c r="S10" s="845"/>
      <c r="T10" s="521" t="s">
        <v>27</v>
      </c>
      <c r="U10" s="843" t="s">
        <v>28</v>
      </c>
      <c r="V10" s="844"/>
      <c r="W10" s="844"/>
      <c r="X10" s="845"/>
      <c r="Y10" s="517" t="s">
        <v>28</v>
      </c>
      <c r="Z10" s="6"/>
    </row>
    <row r="11" spans="2:26" x14ac:dyDescent="0.3">
      <c r="B11" s="3"/>
      <c r="C11" s="3" t="s">
        <v>35</v>
      </c>
      <c r="D11" s="3"/>
      <c r="E11" s="3"/>
      <c r="F11" s="3"/>
      <c r="G11" s="3"/>
      <c r="H11" s="3"/>
      <c r="I11" s="464"/>
      <c r="J11" s="4"/>
      <c r="K11" s="7" t="s">
        <v>36</v>
      </c>
      <c r="L11" s="7" t="s">
        <v>37</v>
      </c>
      <c r="M11" s="7" t="s">
        <v>38</v>
      </c>
      <c r="N11" s="7" t="s">
        <v>39</v>
      </c>
      <c r="O11" s="517" t="s">
        <v>9</v>
      </c>
      <c r="P11" s="8" t="s">
        <v>36</v>
      </c>
      <c r="Q11" s="8" t="s">
        <v>37</v>
      </c>
      <c r="R11" s="8" t="s">
        <v>38</v>
      </c>
      <c r="S11" s="8" t="s">
        <v>39</v>
      </c>
      <c r="T11" s="517" t="s">
        <v>9</v>
      </c>
      <c r="U11" s="8" t="s">
        <v>36</v>
      </c>
      <c r="V11" s="8" t="s">
        <v>37</v>
      </c>
      <c r="W11" s="8" t="s">
        <v>38</v>
      </c>
      <c r="X11" s="8" t="s">
        <v>39</v>
      </c>
      <c r="Y11" s="517" t="s">
        <v>9</v>
      </c>
      <c r="Z11" s="6" t="s">
        <v>19</v>
      </c>
    </row>
    <row r="12" spans="2:26" ht="18" customHeight="1" x14ac:dyDescent="0.3">
      <c r="B12" s="51" t="s">
        <v>512</v>
      </c>
      <c r="C12" s="835" t="str">
        <f>C5</f>
        <v>Human resources at national level (3 technical staff, one program assistant and 3 data support staff)</v>
      </c>
      <c r="D12" s="836"/>
      <c r="E12" s="836"/>
      <c r="F12" s="836"/>
      <c r="G12" s="836"/>
      <c r="H12" s="836"/>
      <c r="I12" s="837"/>
      <c r="J12" s="4"/>
      <c r="K12" s="7"/>
      <c r="L12" s="7"/>
      <c r="M12" s="7"/>
      <c r="N12" s="7"/>
      <c r="O12" s="517"/>
      <c r="P12" s="8"/>
      <c r="Q12" s="8"/>
      <c r="R12" s="8"/>
      <c r="S12" s="8"/>
      <c r="T12" s="517"/>
      <c r="U12" s="8"/>
      <c r="V12" s="8"/>
      <c r="W12" s="8"/>
      <c r="X12" s="8"/>
      <c r="Y12" s="517"/>
      <c r="Z12" s="6"/>
    </row>
    <row r="13" spans="2:26" x14ac:dyDescent="0.3">
      <c r="B13" s="3"/>
      <c r="C13" s="832" t="s">
        <v>114</v>
      </c>
      <c r="D13" s="833"/>
      <c r="E13" s="833"/>
      <c r="F13" s="833"/>
      <c r="G13" s="833"/>
      <c r="H13" s="833"/>
      <c r="I13" s="834"/>
      <c r="J13" s="4"/>
      <c r="K13" s="7">
        <v>3</v>
      </c>
      <c r="L13" s="7">
        <v>3</v>
      </c>
      <c r="M13" s="7">
        <v>3</v>
      </c>
      <c r="N13" s="7">
        <v>3</v>
      </c>
      <c r="O13" s="8">
        <v>3</v>
      </c>
      <c r="P13" s="8">
        <v>3</v>
      </c>
      <c r="Q13" s="8">
        <v>3</v>
      </c>
      <c r="R13" s="8">
        <v>3</v>
      </c>
      <c r="S13" s="8">
        <v>3</v>
      </c>
      <c r="T13" s="8">
        <v>3</v>
      </c>
      <c r="U13" s="8">
        <v>3</v>
      </c>
      <c r="V13" s="8">
        <v>3</v>
      </c>
      <c r="W13" s="8">
        <v>3</v>
      </c>
      <c r="X13" s="8">
        <v>3</v>
      </c>
      <c r="Y13" s="8">
        <v>3</v>
      </c>
      <c r="Z13" s="6">
        <v>3</v>
      </c>
    </row>
    <row r="14" spans="2:26" x14ac:dyDescent="0.3">
      <c r="B14" s="3"/>
      <c r="C14" s="832" t="s">
        <v>42</v>
      </c>
      <c r="D14" s="833"/>
      <c r="E14" s="833"/>
      <c r="F14" s="833"/>
      <c r="G14" s="833"/>
      <c r="H14" s="833"/>
      <c r="I14" s="834"/>
      <c r="J14" s="4"/>
      <c r="K14" s="7">
        <v>1</v>
      </c>
      <c r="L14" s="7">
        <v>1</v>
      </c>
      <c r="M14" s="7">
        <v>1</v>
      </c>
      <c r="N14" s="7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6">
        <v>1</v>
      </c>
    </row>
    <row r="15" spans="2:26" x14ac:dyDescent="0.3">
      <c r="B15" s="3"/>
      <c r="C15" s="832" t="s">
        <v>43</v>
      </c>
      <c r="D15" s="833"/>
      <c r="E15" s="833"/>
      <c r="F15" s="833"/>
      <c r="G15" s="833"/>
      <c r="H15" s="833"/>
      <c r="I15" s="834"/>
      <c r="J15" s="4"/>
      <c r="K15" s="7">
        <v>3</v>
      </c>
      <c r="L15" s="7">
        <v>3</v>
      </c>
      <c r="M15" s="7">
        <v>3</v>
      </c>
      <c r="N15" s="7">
        <v>3</v>
      </c>
      <c r="O15" s="8">
        <v>3</v>
      </c>
      <c r="P15" s="8">
        <v>3</v>
      </c>
      <c r="Q15" s="8">
        <v>3</v>
      </c>
      <c r="R15" s="8">
        <v>3</v>
      </c>
      <c r="S15" s="8">
        <v>3</v>
      </c>
      <c r="T15" s="8">
        <v>3</v>
      </c>
      <c r="U15" s="8">
        <v>3</v>
      </c>
      <c r="V15" s="8">
        <v>3</v>
      </c>
      <c r="W15" s="8">
        <v>3</v>
      </c>
      <c r="X15" s="8">
        <v>3</v>
      </c>
      <c r="Y15" s="8">
        <v>3</v>
      </c>
      <c r="Z15" s="6">
        <v>3</v>
      </c>
    </row>
    <row r="16" spans="2:26" x14ac:dyDescent="0.3">
      <c r="B16" s="3"/>
      <c r="C16" s="3"/>
      <c r="D16" s="3"/>
      <c r="E16" s="3"/>
      <c r="F16" s="3"/>
      <c r="G16" s="3"/>
      <c r="H16" s="3"/>
      <c r="I16" s="464"/>
      <c r="J16" s="4"/>
      <c r="K16" s="7"/>
      <c r="L16" s="7"/>
      <c r="M16" s="7"/>
      <c r="N16" s="7"/>
      <c r="O16" s="517"/>
      <c r="P16" s="8"/>
      <c r="Q16" s="8"/>
      <c r="R16" s="8"/>
      <c r="S16" s="8"/>
      <c r="T16" s="517"/>
      <c r="U16" s="8"/>
      <c r="V16" s="8"/>
      <c r="W16" s="8"/>
      <c r="X16" s="8"/>
      <c r="Y16" s="517"/>
      <c r="Z16" s="6"/>
    </row>
    <row r="17" spans="2:26" ht="30" customHeight="1" x14ac:dyDescent="0.3">
      <c r="B17" s="51" t="s">
        <v>513</v>
      </c>
      <c r="C17" s="835" t="str">
        <f>C6</f>
        <v>Human resources at state and district levels (technical and support staff)</v>
      </c>
      <c r="D17" s="836"/>
      <c r="E17" s="836"/>
      <c r="F17" s="836"/>
      <c r="G17" s="836"/>
      <c r="H17" s="836"/>
      <c r="I17" s="837"/>
      <c r="J17" s="4"/>
      <c r="K17" s="7"/>
      <c r="L17" s="7"/>
      <c r="M17" s="7"/>
      <c r="N17" s="7"/>
      <c r="O17" s="517"/>
      <c r="P17" s="8"/>
      <c r="Q17" s="8"/>
      <c r="R17" s="8"/>
      <c r="S17" s="8"/>
      <c r="T17" s="517"/>
      <c r="U17" s="8"/>
      <c r="V17" s="8"/>
      <c r="W17" s="8"/>
      <c r="X17" s="8"/>
      <c r="Y17" s="517"/>
      <c r="Z17" s="6"/>
    </row>
    <row r="18" spans="2:26" x14ac:dyDescent="0.3">
      <c r="B18" s="3"/>
      <c r="C18" s="832" t="s">
        <v>115</v>
      </c>
      <c r="D18" s="833"/>
      <c r="E18" s="833"/>
      <c r="F18" s="833"/>
      <c r="G18" s="833"/>
      <c r="H18" s="833"/>
      <c r="I18" s="834"/>
      <c r="J18" s="4"/>
      <c r="K18" s="7">
        <v>248</v>
      </c>
      <c r="L18" s="7">
        <v>248</v>
      </c>
      <c r="M18" s="7">
        <v>248</v>
      </c>
      <c r="N18" s="7">
        <v>248</v>
      </c>
      <c r="O18" s="8">
        <v>248</v>
      </c>
      <c r="P18" s="8">
        <v>248</v>
      </c>
      <c r="Q18" s="8">
        <v>248</v>
      </c>
      <c r="R18" s="8">
        <v>248</v>
      </c>
      <c r="S18" s="8">
        <v>248</v>
      </c>
      <c r="T18" s="8">
        <v>248</v>
      </c>
      <c r="U18" s="8">
        <v>248</v>
      </c>
      <c r="V18" s="8">
        <v>248</v>
      </c>
      <c r="W18" s="8">
        <v>248</v>
      </c>
      <c r="X18" s="8">
        <v>248</v>
      </c>
      <c r="Y18" s="8">
        <v>248</v>
      </c>
      <c r="Z18" s="6">
        <v>248</v>
      </c>
    </row>
    <row r="19" spans="2:26" x14ac:dyDescent="0.3">
      <c r="B19" s="3"/>
      <c r="C19" s="832" t="s">
        <v>116</v>
      </c>
      <c r="D19" s="833"/>
      <c r="E19" s="833"/>
      <c r="F19" s="833"/>
      <c r="G19" s="833"/>
      <c r="H19" s="833"/>
      <c r="I19" s="834"/>
      <c r="J19" s="4"/>
      <c r="K19" s="7">
        <v>8</v>
      </c>
      <c r="L19" s="7">
        <v>8</v>
      </c>
      <c r="M19" s="7">
        <v>8</v>
      </c>
      <c r="N19" s="7">
        <v>8</v>
      </c>
      <c r="O19" s="8">
        <v>8</v>
      </c>
      <c r="P19" s="8">
        <v>8</v>
      </c>
      <c r="Q19" s="8">
        <v>8</v>
      </c>
      <c r="R19" s="8">
        <v>8</v>
      </c>
      <c r="S19" s="8">
        <v>8</v>
      </c>
      <c r="T19" s="8">
        <v>8</v>
      </c>
      <c r="U19" s="8">
        <v>8</v>
      </c>
      <c r="V19" s="8">
        <v>8</v>
      </c>
      <c r="W19" s="8">
        <v>8</v>
      </c>
      <c r="X19" s="8">
        <v>8</v>
      </c>
      <c r="Y19" s="8">
        <v>8</v>
      </c>
      <c r="Z19" s="6">
        <v>8</v>
      </c>
    </row>
    <row r="20" spans="2:26" x14ac:dyDescent="0.3">
      <c r="B20" s="3"/>
      <c r="C20" s="832" t="s">
        <v>520</v>
      </c>
      <c r="D20" s="833"/>
      <c r="E20" s="833"/>
      <c r="F20" s="833"/>
      <c r="G20" s="833"/>
      <c r="H20" s="833"/>
      <c r="I20" s="834"/>
      <c r="J20" s="4"/>
      <c r="K20" s="7">
        <v>444</v>
      </c>
      <c r="L20" s="7">
        <v>444</v>
      </c>
      <c r="M20" s="7">
        <v>444</v>
      </c>
      <c r="N20" s="7">
        <v>444</v>
      </c>
      <c r="O20" s="8">
        <v>444</v>
      </c>
      <c r="P20" s="8">
        <v>444</v>
      </c>
      <c r="Q20" s="8">
        <v>444</v>
      </c>
      <c r="R20" s="8">
        <v>444</v>
      </c>
      <c r="S20" s="8">
        <v>444</v>
      </c>
      <c r="T20" s="8">
        <v>444</v>
      </c>
      <c r="U20" s="8">
        <v>444</v>
      </c>
      <c r="V20" s="8">
        <v>444</v>
      </c>
      <c r="W20" s="8">
        <v>444</v>
      </c>
      <c r="X20" s="8">
        <v>444</v>
      </c>
      <c r="Y20" s="8">
        <v>444</v>
      </c>
      <c r="Z20" s="6">
        <v>444</v>
      </c>
    </row>
    <row r="21" spans="2:26" x14ac:dyDescent="0.3">
      <c r="B21" s="3"/>
      <c r="C21" s="3"/>
      <c r="D21" s="3"/>
      <c r="E21" s="3"/>
      <c r="F21" s="3"/>
      <c r="G21" s="3"/>
      <c r="H21" s="3"/>
      <c r="I21" s="464"/>
      <c r="J21" s="4"/>
      <c r="K21" s="7"/>
      <c r="L21" s="7"/>
      <c r="M21" s="7"/>
      <c r="N21" s="7"/>
      <c r="O21" s="517"/>
      <c r="P21" s="8"/>
      <c r="Q21" s="8"/>
      <c r="R21" s="8"/>
      <c r="S21" s="8"/>
      <c r="T21" s="517"/>
      <c r="U21" s="8"/>
      <c r="V21" s="8"/>
      <c r="W21" s="8"/>
      <c r="X21" s="8"/>
      <c r="Y21" s="517"/>
      <c r="Z21" s="6"/>
    </row>
    <row r="22" spans="2:26" x14ac:dyDescent="0.3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x14ac:dyDescent="0.3"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x14ac:dyDescent="0.3">
      <c r="B24" s="838" t="str">
        <f>C5</f>
        <v>Human resources at national level (3 technical staff, one program assistant and 3 data support staff)</v>
      </c>
      <c r="C24" s="839"/>
      <c r="D24" s="839"/>
      <c r="E24" s="839"/>
      <c r="F24" s="839"/>
      <c r="G24" s="839"/>
      <c r="H24" s="839"/>
      <c r="I24" s="840"/>
      <c r="J24" s="458"/>
      <c r="K24" s="820" t="s">
        <v>26</v>
      </c>
      <c r="L24" s="820"/>
      <c r="M24" s="820"/>
      <c r="N24" s="820"/>
      <c r="O24" s="518" t="str">
        <f>O10</f>
        <v>Year 1</v>
      </c>
      <c r="P24" s="821" t="s">
        <v>27</v>
      </c>
      <c r="Q24" s="821"/>
      <c r="R24" s="821"/>
      <c r="S24" s="821"/>
      <c r="T24" s="11" t="str">
        <f>T10</f>
        <v>Year 2</v>
      </c>
      <c r="U24" s="821" t="s">
        <v>28</v>
      </c>
      <c r="V24" s="821"/>
      <c r="W24" s="821"/>
      <c r="X24" s="821"/>
      <c r="Y24" s="12" t="str">
        <f>Y10</f>
        <v>Year 3</v>
      </c>
      <c r="Z24" s="13" t="s">
        <v>19</v>
      </c>
    </row>
    <row r="25" spans="2:26" ht="28.8" x14ac:dyDescent="0.3">
      <c r="B25" s="464"/>
      <c r="C25" s="464" t="s">
        <v>49</v>
      </c>
      <c r="D25" s="538" t="s">
        <v>517</v>
      </c>
      <c r="E25" s="464" t="s">
        <v>51</v>
      </c>
      <c r="F25" s="464" t="s">
        <v>52</v>
      </c>
      <c r="G25" s="464" t="s">
        <v>53</v>
      </c>
      <c r="H25" s="464" t="s">
        <v>54</v>
      </c>
      <c r="I25" s="464" t="s">
        <v>55</v>
      </c>
      <c r="J25" s="458"/>
      <c r="K25" s="464" t="s">
        <v>36</v>
      </c>
      <c r="L25" s="464" t="s">
        <v>37</v>
      </c>
      <c r="M25" s="464" t="s">
        <v>38</v>
      </c>
      <c r="N25" s="464" t="s">
        <v>39</v>
      </c>
      <c r="O25" s="12" t="s">
        <v>9</v>
      </c>
      <c r="P25" s="12" t="s">
        <v>36</v>
      </c>
      <c r="Q25" s="12" t="s">
        <v>37</v>
      </c>
      <c r="R25" s="12" t="s">
        <v>38</v>
      </c>
      <c r="S25" s="12" t="s">
        <v>39</v>
      </c>
      <c r="T25" s="12" t="s">
        <v>9</v>
      </c>
      <c r="U25" s="12" t="s">
        <v>36</v>
      </c>
      <c r="V25" s="12" t="s">
        <v>37</v>
      </c>
      <c r="W25" s="12" t="s">
        <v>38</v>
      </c>
      <c r="X25" s="12" t="s">
        <v>39</v>
      </c>
      <c r="Y25" s="12" t="s">
        <v>9</v>
      </c>
      <c r="Z25" s="13"/>
    </row>
    <row r="26" spans="2:26" ht="28.8" x14ac:dyDescent="0.3">
      <c r="B26" s="51" t="s">
        <v>512</v>
      </c>
      <c r="C26" s="483" t="str">
        <f>C12</f>
        <v>Human resources at national level (3 technical staff, one program assistant and 3 data support staff)</v>
      </c>
      <c r="D26" s="464"/>
      <c r="E26" s="464"/>
      <c r="F26" s="464"/>
      <c r="G26" s="464"/>
      <c r="H26" s="464"/>
      <c r="I26" s="464"/>
      <c r="J26" s="458"/>
      <c r="K26" s="464"/>
      <c r="L26" s="464"/>
      <c r="M26" s="464"/>
      <c r="N26" s="464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3"/>
    </row>
    <row r="27" spans="2:26" x14ac:dyDescent="0.3">
      <c r="B27" s="464"/>
      <c r="C27" s="464" t="str">
        <f>C13</f>
        <v>Technical Staff</v>
      </c>
      <c r="D27" s="464">
        <v>168100</v>
      </c>
      <c r="E27" s="519" t="s">
        <v>518</v>
      </c>
      <c r="F27" s="519" t="s">
        <v>518</v>
      </c>
      <c r="G27" s="497">
        <v>1</v>
      </c>
      <c r="H27" s="464">
        <f>D27*G27</f>
        <v>168100</v>
      </c>
      <c r="I27" s="464">
        <f>H27/54</f>
        <v>3112.962962962963</v>
      </c>
      <c r="J27" s="458"/>
      <c r="K27" s="464">
        <f>I27*K13*3</f>
        <v>28016.666666666664</v>
      </c>
      <c r="L27" s="464">
        <f t="shared" ref="L27:N29" si="0">K27</f>
        <v>28016.666666666664</v>
      </c>
      <c r="M27" s="464">
        <f t="shared" si="0"/>
        <v>28016.666666666664</v>
      </c>
      <c r="N27" s="464">
        <f t="shared" si="0"/>
        <v>28016.666666666664</v>
      </c>
      <c r="O27" s="12">
        <f>K27+L27+M27+N27</f>
        <v>112066.66666666666</v>
      </c>
      <c r="P27" s="12">
        <f>K27*1.1</f>
        <v>30818.333333333332</v>
      </c>
      <c r="Q27" s="12">
        <f t="shared" ref="Q27:S29" si="1">L27*1.1</f>
        <v>30818.333333333332</v>
      </c>
      <c r="R27" s="12">
        <f t="shared" si="1"/>
        <v>30818.333333333332</v>
      </c>
      <c r="S27" s="12">
        <f t="shared" si="1"/>
        <v>30818.333333333332</v>
      </c>
      <c r="T27" s="12">
        <f>P27+Q27+R27+S27</f>
        <v>123273.33333333333</v>
      </c>
      <c r="U27" s="12">
        <f>P27*1.1</f>
        <v>33900.166666666672</v>
      </c>
      <c r="V27" s="12">
        <f t="shared" ref="V27:X28" si="2">Q27*1.1</f>
        <v>33900.166666666672</v>
      </c>
      <c r="W27" s="12">
        <f t="shared" si="2"/>
        <v>33900.166666666672</v>
      </c>
      <c r="X27" s="12">
        <f t="shared" si="2"/>
        <v>33900.166666666672</v>
      </c>
      <c r="Y27" s="12">
        <f>U27+V27+W27+X27</f>
        <v>135600.66666666669</v>
      </c>
      <c r="Z27" s="13">
        <f>O27+T27+Y27</f>
        <v>370940.66666666669</v>
      </c>
    </row>
    <row r="28" spans="2:26" x14ac:dyDescent="0.3">
      <c r="B28" s="464"/>
      <c r="C28" s="464" t="str">
        <f>C14</f>
        <v>Programme Assistants</v>
      </c>
      <c r="D28" s="464">
        <v>63200</v>
      </c>
      <c r="E28" s="519" t="s">
        <v>518</v>
      </c>
      <c r="F28" s="519" t="s">
        <v>518</v>
      </c>
      <c r="G28" s="497">
        <v>1</v>
      </c>
      <c r="H28" s="464">
        <f t="shared" ref="H28:H29" si="3">D28*G28</f>
        <v>63200</v>
      </c>
      <c r="I28" s="464">
        <f>H28/54</f>
        <v>1170.3703703703704</v>
      </c>
      <c r="J28" s="458"/>
      <c r="K28" s="464">
        <f>I28*K14*3</f>
        <v>3511.1111111111113</v>
      </c>
      <c r="L28" s="464">
        <f t="shared" si="0"/>
        <v>3511.1111111111113</v>
      </c>
      <c r="M28" s="464">
        <f t="shared" si="0"/>
        <v>3511.1111111111113</v>
      </c>
      <c r="N28" s="464">
        <f t="shared" si="0"/>
        <v>3511.1111111111113</v>
      </c>
      <c r="O28" s="12">
        <f>K28+L28+M28+N28</f>
        <v>14044.444444444445</v>
      </c>
      <c r="P28" s="12">
        <f>K28*1.1</f>
        <v>3862.2222222222226</v>
      </c>
      <c r="Q28" s="12">
        <f t="shared" si="1"/>
        <v>3862.2222222222226</v>
      </c>
      <c r="R28" s="12">
        <f t="shared" si="1"/>
        <v>3862.2222222222226</v>
      </c>
      <c r="S28" s="12">
        <f t="shared" si="1"/>
        <v>3862.2222222222226</v>
      </c>
      <c r="T28" s="12">
        <f>P28+Q28+R28+S28</f>
        <v>15448.888888888891</v>
      </c>
      <c r="U28" s="12">
        <f>P28*1.1</f>
        <v>4248.4444444444453</v>
      </c>
      <c r="V28" s="12">
        <f t="shared" si="2"/>
        <v>4248.4444444444453</v>
      </c>
      <c r="W28" s="12">
        <f t="shared" si="2"/>
        <v>4248.4444444444453</v>
      </c>
      <c r="X28" s="12">
        <f t="shared" si="2"/>
        <v>4248.4444444444453</v>
      </c>
      <c r="Y28" s="12">
        <f>U28+V28+W28+X28</f>
        <v>16993.777777777781</v>
      </c>
      <c r="Z28" s="13">
        <f>O28+T28+Y28</f>
        <v>46487.111111111117</v>
      </c>
    </row>
    <row r="29" spans="2:26" x14ac:dyDescent="0.3">
      <c r="B29" s="464"/>
      <c r="C29" s="464" t="str">
        <f>C15</f>
        <v>Data Support Staff</v>
      </c>
      <c r="D29" s="464">
        <v>48900</v>
      </c>
      <c r="E29" s="519" t="s">
        <v>518</v>
      </c>
      <c r="F29" s="519" t="s">
        <v>518</v>
      </c>
      <c r="G29" s="497">
        <v>1</v>
      </c>
      <c r="H29" s="464">
        <f t="shared" si="3"/>
        <v>48900</v>
      </c>
      <c r="I29" s="464">
        <f>H29/54</f>
        <v>905.55555555555554</v>
      </c>
      <c r="J29" s="458"/>
      <c r="K29" s="464">
        <f>I29*K15*3</f>
        <v>8150</v>
      </c>
      <c r="L29" s="464">
        <f t="shared" si="0"/>
        <v>8150</v>
      </c>
      <c r="M29" s="464">
        <f t="shared" si="0"/>
        <v>8150</v>
      </c>
      <c r="N29" s="464">
        <f t="shared" si="0"/>
        <v>8150</v>
      </c>
      <c r="O29" s="12">
        <f>K29+L29+M29+N29</f>
        <v>32600</v>
      </c>
      <c r="P29" s="12">
        <f>K29*1.1</f>
        <v>8965</v>
      </c>
      <c r="Q29" s="12">
        <f t="shared" si="1"/>
        <v>8965</v>
      </c>
      <c r="R29" s="12">
        <f t="shared" si="1"/>
        <v>8965</v>
      </c>
      <c r="S29" s="12">
        <f t="shared" si="1"/>
        <v>8965</v>
      </c>
      <c r="T29" s="12">
        <f>P29+Q29+R29+S29</f>
        <v>35860</v>
      </c>
      <c r="U29" s="12">
        <f>P29*1.1</f>
        <v>9861.5</v>
      </c>
      <c r="V29" s="12">
        <f>Q29*1.1</f>
        <v>9861.5</v>
      </c>
      <c r="W29" s="12">
        <f>R29*1.1</f>
        <v>9861.5</v>
      </c>
      <c r="X29" s="12">
        <f>S29*1.1</f>
        <v>9861.5</v>
      </c>
      <c r="Y29" s="12">
        <f>U29+V29+W29+X29</f>
        <v>39446</v>
      </c>
      <c r="Z29" s="13">
        <f>O29+T29+Y29</f>
        <v>107906</v>
      </c>
    </row>
    <row r="30" spans="2:26" x14ac:dyDescent="0.3">
      <c r="B30" s="467"/>
      <c r="C30" s="467" t="s">
        <v>56</v>
      </c>
      <c r="D30" s="467"/>
      <c r="E30" s="467"/>
      <c r="F30" s="467"/>
      <c r="G30" s="467"/>
      <c r="H30" s="467"/>
      <c r="I30" s="467"/>
      <c r="J30" s="473"/>
      <c r="K30" s="467">
        <f>K27+K28+K29</f>
        <v>39677.777777777774</v>
      </c>
      <c r="L30" s="467">
        <f t="shared" ref="L30:Z30" si="4">L27+L28+L29</f>
        <v>39677.777777777774</v>
      </c>
      <c r="M30" s="467">
        <f t="shared" si="4"/>
        <v>39677.777777777774</v>
      </c>
      <c r="N30" s="467">
        <f t="shared" si="4"/>
        <v>39677.777777777774</v>
      </c>
      <c r="O30" s="15">
        <f t="shared" si="4"/>
        <v>158711.11111111109</v>
      </c>
      <c r="P30" s="15">
        <f t="shared" si="4"/>
        <v>43645.555555555555</v>
      </c>
      <c r="Q30" s="15">
        <f t="shared" si="4"/>
        <v>43645.555555555555</v>
      </c>
      <c r="R30" s="15">
        <f t="shared" si="4"/>
        <v>43645.555555555555</v>
      </c>
      <c r="S30" s="15">
        <f t="shared" si="4"/>
        <v>43645.555555555555</v>
      </c>
      <c r="T30" s="15">
        <f t="shared" si="4"/>
        <v>174582.22222222222</v>
      </c>
      <c r="U30" s="15">
        <f t="shared" si="4"/>
        <v>48010.111111111117</v>
      </c>
      <c r="V30" s="15">
        <f t="shared" si="4"/>
        <v>48010.111111111117</v>
      </c>
      <c r="W30" s="15">
        <f t="shared" si="4"/>
        <v>48010.111111111117</v>
      </c>
      <c r="X30" s="15">
        <f t="shared" si="4"/>
        <v>48010.111111111117</v>
      </c>
      <c r="Y30" s="15">
        <f t="shared" si="4"/>
        <v>192040.44444444447</v>
      </c>
      <c r="Z30" s="15">
        <f t="shared" si="4"/>
        <v>525333.77777777775</v>
      </c>
    </row>
    <row r="31" spans="2:26" x14ac:dyDescent="0.3"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x14ac:dyDescent="0.3">
      <c r="B32" s="772" t="str">
        <f>C6</f>
        <v>Human resources at state and district levels (technical and support staff)</v>
      </c>
      <c r="C32" s="773"/>
      <c r="D32" s="773"/>
      <c r="E32" s="773"/>
      <c r="F32" s="773"/>
      <c r="G32" s="773"/>
      <c r="H32" s="773"/>
      <c r="I32" s="791"/>
      <c r="K32" s="820" t="s">
        <v>26</v>
      </c>
      <c r="L32" s="820"/>
      <c r="M32" s="820"/>
      <c r="N32" s="820"/>
      <c r="O32" s="518" t="str">
        <f>O24</f>
        <v>Year 1</v>
      </c>
      <c r="P32" s="821" t="s">
        <v>27</v>
      </c>
      <c r="Q32" s="821"/>
      <c r="R32" s="821"/>
      <c r="S32" s="821"/>
      <c r="T32" s="11" t="str">
        <f>T24</f>
        <v>Year 2</v>
      </c>
      <c r="U32" s="821" t="s">
        <v>28</v>
      </c>
      <c r="V32" s="821"/>
      <c r="W32" s="821"/>
      <c r="X32" s="821"/>
      <c r="Y32" s="12" t="str">
        <f>Y24</f>
        <v>Year 3</v>
      </c>
      <c r="Z32" s="13" t="s">
        <v>19</v>
      </c>
    </row>
    <row r="33" spans="2:28" ht="28.8" x14ac:dyDescent="0.35">
      <c r="B33" s="3"/>
      <c r="C33" s="3" t="s">
        <v>49</v>
      </c>
      <c r="D33" s="538" t="s">
        <v>517</v>
      </c>
      <c r="E33" s="3" t="s">
        <v>51</v>
      </c>
      <c r="F33" s="3" t="s">
        <v>52</v>
      </c>
      <c r="G33" s="3" t="s">
        <v>521</v>
      </c>
      <c r="H33" s="3" t="s">
        <v>54</v>
      </c>
      <c r="I33" s="464" t="s">
        <v>55</v>
      </c>
      <c r="K33" s="464" t="s">
        <v>36</v>
      </c>
      <c r="L33" s="464" t="s">
        <v>37</v>
      </c>
      <c r="M33" s="464" t="s">
        <v>38</v>
      </c>
      <c r="N33" s="464" t="s">
        <v>39</v>
      </c>
      <c r="O33" s="12" t="s">
        <v>9</v>
      </c>
      <c r="P33" s="12" t="s">
        <v>36</v>
      </c>
      <c r="Q33" s="12" t="s">
        <v>37</v>
      </c>
      <c r="R33" s="12" t="s">
        <v>38</v>
      </c>
      <c r="S33" s="12" t="s">
        <v>39</v>
      </c>
      <c r="T33" s="12" t="s">
        <v>9</v>
      </c>
      <c r="U33" s="12" t="s">
        <v>36</v>
      </c>
      <c r="V33" s="12" t="s">
        <v>37</v>
      </c>
      <c r="W33" s="12" t="s">
        <v>38</v>
      </c>
      <c r="X33" s="12" t="s">
        <v>39</v>
      </c>
      <c r="Y33" s="12" t="s">
        <v>9</v>
      </c>
      <c r="Z33" s="13"/>
    </row>
    <row r="34" spans="2:28" x14ac:dyDescent="0.3">
      <c r="B34" s="51" t="s">
        <v>513</v>
      </c>
      <c r="C34" s="66" t="str">
        <f>C17</f>
        <v>Human resources at state and district levels (technical and support staff)</v>
      </c>
      <c r="D34" s="3"/>
      <c r="E34" s="3"/>
      <c r="F34" s="3"/>
      <c r="G34" s="3"/>
      <c r="H34" s="3"/>
      <c r="I34" s="464"/>
      <c r="K34" s="464"/>
      <c r="L34" s="464"/>
      <c r="M34" s="464"/>
      <c r="N34" s="46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</row>
    <row r="35" spans="2:28" ht="18" x14ac:dyDescent="0.35">
      <c r="B35" s="3"/>
      <c r="C35" s="3" t="s">
        <v>522</v>
      </c>
      <c r="D35" s="464">
        <v>156330</v>
      </c>
      <c r="E35" s="519" t="s">
        <v>518</v>
      </c>
      <c r="F35" s="519" t="s">
        <v>518</v>
      </c>
      <c r="G35" s="16">
        <v>0.2</v>
      </c>
      <c r="H35" s="464">
        <f t="shared" ref="H35:H37" si="5">D35*G35</f>
        <v>31266</v>
      </c>
      <c r="I35" s="464">
        <f>H35/54</f>
        <v>579</v>
      </c>
      <c r="K35" s="89">
        <f>I35*K18*3</f>
        <v>430776</v>
      </c>
      <c r="L35" s="89">
        <f>K35</f>
        <v>430776</v>
      </c>
      <c r="M35" s="464">
        <f>K35</f>
        <v>430776</v>
      </c>
      <c r="N35" s="464">
        <f>K35</f>
        <v>430776</v>
      </c>
      <c r="O35" s="12">
        <f>K35+L35+M35+N35</f>
        <v>1723104</v>
      </c>
      <c r="P35" s="12">
        <f>(K35*25/20)*1.1</f>
        <v>592317</v>
      </c>
      <c r="Q35" s="12">
        <f t="shared" ref="Q35:S37" si="6">P35</f>
        <v>592317</v>
      </c>
      <c r="R35" s="12">
        <f t="shared" si="6"/>
        <v>592317</v>
      </c>
      <c r="S35" s="12">
        <f t="shared" si="6"/>
        <v>592317</v>
      </c>
      <c r="T35" s="12">
        <f>P35+Q35+R35+S35</f>
        <v>2369268</v>
      </c>
      <c r="U35" s="12">
        <f>(P35*30/25)*1.1</f>
        <v>781858.44000000006</v>
      </c>
      <c r="V35" s="12">
        <f t="shared" ref="V35:X37" si="7">(Q35*30/25)*1.1</f>
        <v>781858.44000000006</v>
      </c>
      <c r="W35" s="12">
        <f t="shared" si="7"/>
        <v>781858.44000000006</v>
      </c>
      <c r="X35" s="12">
        <f t="shared" si="7"/>
        <v>781858.44000000006</v>
      </c>
      <c r="Y35" s="12">
        <f>U35+V35+W35+X35</f>
        <v>3127433.7600000002</v>
      </c>
      <c r="Z35" s="13">
        <f>O35+T35+Y35</f>
        <v>7219805.7599999998</v>
      </c>
    </row>
    <row r="36" spans="2:28" x14ac:dyDescent="0.3">
      <c r="B36" s="3"/>
      <c r="C36" s="3" t="str">
        <f>C19</f>
        <v>Technical Officers State Level</v>
      </c>
      <c r="D36" s="464">
        <v>156330</v>
      </c>
      <c r="E36" s="519" t="s">
        <v>518</v>
      </c>
      <c r="F36" s="519" t="s">
        <v>518</v>
      </c>
      <c r="G36" s="16">
        <v>1</v>
      </c>
      <c r="H36" s="464">
        <f t="shared" si="5"/>
        <v>156330</v>
      </c>
      <c r="I36" s="464">
        <f>H36/54</f>
        <v>2895</v>
      </c>
      <c r="K36" s="464">
        <f>I36*K19*3</f>
        <v>69480</v>
      </c>
      <c r="L36" s="464">
        <f>K36</f>
        <v>69480</v>
      </c>
      <c r="M36" s="464">
        <f>L36</f>
        <v>69480</v>
      </c>
      <c r="N36" s="468">
        <f>M36</f>
        <v>69480</v>
      </c>
      <c r="O36" s="12">
        <f>K36+L36+M36+N36</f>
        <v>277920</v>
      </c>
      <c r="P36" s="137">
        <f>(K36*1.1)</f>
        <v>76428</v>
      </c>
      <c r="Q36" s="137">
        <f t="shared" si="6"/>
        <v>76428</v>
      </c>
      <c r="R36" s="137">
        <f t="shared" si="6"/>
        <v>76428</v>
      </c>
      <c r="S36" s="137">
        <f t="shared" si="6"/>
        <v>76428</v>
      </c>
      <c r="T36" s="12">
        <f>P36+Q36+R36+S36</f>
        <v>305712</v>
      </c>
      <c r="U36" s="12">
        <f>(P36)*1.1</f>
        <v>84070.8</v>
      </c>
      <c r="V36" s="12">
        <f>+U36</f>
        <v>84070.8</v>
      </c>
      <c r="W36" s="12">
        <f>+V36</f>
        <v>84070.8</v>
      </c>
      <c r="X36" s="12">
        <f>+W36</f>
        <v>84070.8</v>
      </c>
      <c r="Y36" s="12">
        <f>U36+V36+W36+X36</f>
        <v>336283.2</v>
      </c>
      <c r="Z36" s="13">
        <f>O36+T36+Y36</f>
        <v>919915.2</v>
      </c>
      <c r="AB36" s="134"/>
    </row>
    <row r="37" spans="2:28" ht="18" x14ac:dyDescent="0.35">
      <c r="B37" s="3"/>
      <c r="C37" s="3" t="s">
        <v>523</v>
      </c>
      <c r="D37" s="464">
        <v>22950</v>
      </c>
      <c r="E37" s="519" t="s">
        <v>518</v>
      </c>
      <c r="F37" s="519" t="s">
        <v>518</v>
      </c>
      <c r="G37" s="16">
        <v>0.2</v>
      </c>
      <c r="H37" s="464">
        <f t="shared" si="5"/>
        <v>4590</v>
      </c>
      <c r="I37" s="464">
        <f>H37/54</f>
        <v>85</v>
      </c>
      <c r="K37" s="464">
        <f>I37*K20*3</f>
        <v>113220</v>
      </c>
      <c r="L37" s="464">
        <f>K37</f>
        <v>113220</v>
      </c>
      <c r="M37" s="464">
        <f>L37</f>
        <v>113220</v>
      </c>
      <c r="N37" s="468">
        <f>M37</f>
        <v>113220</v>
      </c>
      <c r="O37" s="12">
        <f>K37+L37+M37+N37</f>
        <v>452880</v>
      </c>
      <c r="P37" s="137">
        <f>(K37*25/20)*1.1</f>
        <v>155677.5</v>
      </c>
      <c r="Q37" s="137">
        <f t="shared" si="6"/>
        <v>155677.5</v>
      </c>
      <c r="R37" s="137">
        <f t="shared" si="6"/>
        <v>155677.5</v>
      </c>
      <c r="S37" s="137">
        <f t="shared" si="6"/>
        <v>155677.5</v>
      </c>
      <c r="T37" s="12">
        <f>P37+Q37+R37+S37</f>
        <v>622710</v>
      </c>
      <c r="U37" s="12">
        <f>(P37*30/25)*1.1</f>
        <v>205494.30000000002</v>
      </c>
      <c r="V37" s="12">
        <f t="shared" si="7"/>
        <v>205494.30000000002</v>
      </c>
      <c r="W37" s="12">
        <f t="shared" si="7"/>
        <v>205494.30000000002</v>
      </c>
      <c r="X37" s="12">
        <f t="shared" si="7"/>
        <v>205494.30000000002</v>
      </c>
      <c r="Y37" s="12">
        <f>U37+V37+W37+X37</f>
        <v>821977.20000000007</v>
      </c>
      <c r="Z37" s="13">
        <f>O37+T37+Y37</f>
        <v>1897567.2000000002</v>
      </c>
    </row>
    <row r="38" spans="2:28" x14ac:dyDescent="0.3">
      <c r="B38" s="18"/>
      <c r="C38" s="18" t="s">
        <v>56</v>
      </c>
      <c r="D38" s="18"/>
      <c r="E38" s="18"/>
      <c r="F38" s="18"/>
      <c r="G38" s="18"/>
      <c r="H38" s="19"/>
      <c r="I38" s="467"/>
      <c r="J38" s="95"/>
      <c r="K38" s="467">
        <f>K35+K36+K37</f>
        <v>613476</v>
      </c>
      <c r="L38" s="467">
        <f t="shared" ref="L38:Z38" si="8">L35+L36+L37</f>
        <v>613476</v>
      </c>
      <c r="M38" s="467">
        <f t="shared" si="8"/>
        <v>613476</v>
      </c>
      <c r="N38" s="467">
        <f t="shared" si="8"/>
        <v>613476</v>
      </c>
      <c r="O38" s="15">
        <f t="shared" si="8"/>
        <v>2453904</v>
      </c>
      <c r="P38" s="15">
        <f t="shared" si="8"/>
        <v>824422.5</v>
      </c>
      <c r="Q38" s="15">
        <f t="shared" si="8"/>
        <v>824422.5</v>
      </c>
      <c r="R38" s="15">
        <f t="shared" si="8"/>
        <v>824422.5</v>
      </c>
      <c r="S38" s="15">
        <f t="shared" si="8"/>
        <v>824422.5</v>
      </c>
      <c r="T38" s="15">
        <f t="shared" si="8"/>
        <v>3297690</v>
      </c>
      <c r="U38" s="15">
        <f t="shared" si="8"/>
        <v>1071423.54</v>
      </c>
      <c r="V38" s="15">
        <f t="shared" si="8"/>
        <v>1071423.54</v>
      </c>
      <c r="W38" s="15">
        <f t="shared" si="8"/>
        <v>1071423.54</v>
      </c>
      <c r="X38" s="15">
        <f t="shared" si="8"/>
        <v>1071423.54</v>
      </c>
      <c r="Y38" s="15">
        <f t="shared" si="8"/>
        <v>4285694.16</v>
      </c>
      <c r="Z38" s="15">
        <f t="shared" si="8"/>
        <v>10037288.16</v>
      </c>
    </row>
    <row r="39" spans="2:28" x14ac:dyDescent="0.3">
      <c r="G39" s="544"/>
    </row>
    <row r="40" spans="2:28" ht="18" x14ac:dyDescent="0.35">
      <c r="C40" s="545" t="s">
        <v>524</v>
      </c>
    </row>
    <row r="42" spans="2:28" x14ac:dyDescent="0.3">
      <c r="B42" s="3"/>
      <c r="C42" s="3" t="s">
        <v>59</v>
      </c>
      <c r="D42" s="3"/>
      <c r="E42" s="3"/>
      <c r="F42" s="3"/>
      <c r="G42" s="3"/>
      <c r="H42" s="3"/>
      <c r="I42" s="46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8" x14ac:dyDescent="0.3">
      <c r="B43" s="3"/>
      <c r="C43" s="3"/>
      <c r="D43" s="3"/>
      <c r="E43" s="3"/>
      <c r="F43" s="3"/>
      <c r="G43" s="3"/>
      <c r="H43" s="3"/>
      <c r="I43" s="464"/>
      <c r="J43" s="3"/>
      <c r="K43" s="822" t="s">
        <v>26</v>
      </c>
      <c r="L43" s="823"/>
      <c r="M43" s="823"/>
      <c r="N43" s="824"/>
      <c r="O43" s="519"/>
      <c r="P43" s="822" t="s">
        <v>27</v>
      </c>
      <c r="Q43" s="823"/>
      <c r="R43" s="823"/>
      <c r="S43" s="824"/>
      <c r="T43" s="498"/>
      <c r="U43" s="822" t="s">
        <v>28</v>
      </c>
      <c r="V43" s="823"/>
      <c r="W43" s="823"/>
      <c r="X43" s="824"/>
      <c r="Y43" s="464"/>
      <c r="Z43" s="546" t="s">
        <v>19</v>
      </c>
    </row>
    <row r="44" spans="2:28" x14ac:dyDescent="0.3">
      <c r="B44" s="3"/>
      <c r="C44" s="3"/>
      <c r="D44" s="3"/>
      <c r="E44" s="3"/>
      <c r="F44" s="3"/>
      <c r="G44" s="3"/>
      <c r="H44" s="3"/>
      <c r="I44" s="464"/>
      <c r="J44" s="3"/>
      <c r="K44" s="464" t="s">
        <v>36</v>
      </c>
      <c r="L44" s="464" t="s">
        <v>37</v>
      </c>
      <c r="M44" s="464" t="s">
        <v>38</v>
      </c>
      <c r="N44" s="464" t="s">
        <v>39</v>
      </c>
      <c r="O44" s="464" t="s">
        <v>9</v>
      </c>
      <c r="P44" s="464" t="s">
        <v>36</v>
      </c>
      <c r="Q44" s="464" t="s">
        <v>37</v>
      </c>
      <c r="R44" s="464" t="s">
        <v>38</v>
      </c>
      <c r="S44" s="464" t="s">
        <v>39</v>
      </c>
      <c r="T44" s="464" t="s">
        <v>9</v>
      </c>
      <c r="U44" s="464" t="s">
        <v>36</v>
      </c>
      <c r="V44" s="464" t="s">
        <v>37</v>
      </c>
      <c r="W44" s="464" t="s">
        <v>38</v>
      </c>
      <c r="X44" s="464" t="s">
        <v>39</v>
      </c>
      <c r="Y44" s="499" t="s">
        <v>9</v>
      </c>
      <c r="Z44" s="546"/>
    </row>
    <row r="45" spans="2:28" x14ac:dyDescent="0.3">
      <c r="B45" s="535" t="str">
        <f>B26</f>
        <v>5a</v>
      </c>
      <c r="C45" s="24" t="str">
        <f>C26</f>
        <v>Human resources at national level (3 technical staff, one program assistant and 3 data support staff)</v>
      </c>
      <c r="D45" s="3"/>
      <c r="E45" s="3"/>
      <c r="F45" s="3"/>
      <c r="G45" s="3"/>
      <c r="H45" s="3"/>
      <c r="I45" s="464"/>
      <c r="J45" s="3"/>
      <c r="K45" s="24">
        <f t="shared" ref="K45:Z45" si="9">K30</f>
        <v>39677.777777777774</v>
      </c>
      <c r="L45" s="24">
        <f t="shared" si="9"/>
        <v>39677.777777777774</v>
      </c>
      <c r="M45" s="24">
        <f t="shared" si="9"/>
        <v>39677.777777777774</v>
      </c>
      <c r="N45" s="24">
        <f t="shared" si="9"/>
        <v>39677.777777777774</v>
      </c>
      <c r="O45" s="24">
        <f t="shared" si="9"/>
        <v>158711.11111111109</v>
      </c>
      <c r="P45" s="24">
        <f t="shared" si="9"/>
        <v>43645.555555555555</v>
      </c>
      <c r="Q45" s="24">
        <f t="shared" si="9"/>
        <v>43645.555555555555</v>
      </c>
      <c r="R45" s="24">
        <f t="shared" si="9"/>
        <v>43645.555555555555</v>
      </c>
      <c r="S45" s="24">
        <f t="shared" si="9"/>
        <v>43645.555555555555</v>
      </c>
      <c r="T45" s="24">
        <f t="shared" si="9"/>
        <v>174582.22222222222</v>
      </c>
      <c r="U45" s="24">
        <f t="shared" si="9"/>
        <v>48010.111111111117</v>
      </c>
      <c r="V45" s="24">
        <f t="shared" si="9"/>
        <v>48010.111111111117</v>
      </c>
      <c r="W45" s="24">
        <f t="shared" si="9"/>
        <v>48010.111111111117</v>
      </c>
      <c r="X45" s="24">
        <f t="shared" si="9"/>
        <v>48010.111111111117</v>
      </c>
      <c r="Y45" s="24">
        <f t="shared" si="9"/>
        <v>192040.44444444447</v>
      </c>
      <c r="Z45" s="24">
        <f t="shared" si="9"/>
        <v>525333.77777777775</v>
      </c>
    </row>
    <row r="46" spans="2:28" x14ac:dyDescent="0.3">
      <c r="B46" s="9" t="str">
        <f>B34</f>
        <v>5b</v>
      </c>
      <c r="C46" s="3" t="str">
        <f>C34</f>
        <v>Human resources at state and district levels (technical and support staff)</v>
      </c>
      <c r="D46" s="3"/>
      <c r="E46" s="3"/>
      <c r="F46" s="3"/>
      <c r="G46" s="3"/>
      <c r="H46" s="3"/>
      <c r="I46" s="464"/>
      <c r="J46" s="3"/>
      <c r="K46" s="24">
        <f t="shared" ref="K46:Z46" si="10">K38</f>
        <v>613476</v>
      </c>
      <c r="L46" s="24">
        <f t="shared" si="10"/>
        <v>613476</v>
      </c>
      <c r="M46" s="24">
        <f t="shared" si="10"/>
        <v>613476</v>
      </c>
      <c r="N46" s="24">
        <f t="shared" si="10"/>
        <v>613476</v>
      </c>
      <c r="O46" s="24">
        <f t="shared" si="10"/>
        <v>2453904</v>
      </c>
      <c r="P46" s="24">
        <f t="shared" si="10"/>
        <v>824422.5</v>
      </c>
      <c r="Q46" s="24">
        <f t="shared" si="10"/>
        <v>824422.5</v>
      </c>
      <c r="R46" s="24">
        <f t="shared" si="10"/>
        <v>824422.5</v>
      </c>
      <c r="S46" s="24">
        <f t="shared" si="10"/>
        <v>824422.5</v>
      </c>
      <c r="T46" s="24">
        <f t="shared" si="10"/>
        <v>3297690</v>
      </c>
      <c r="U46" s="24">
        <f t="shared" si="10"/>
        <v>1071423.54</v>
      </c>
      <c r="V46" s="24">
        <f t="shared" si="10"/>
        <v>1071423.54</v>
      </c>
      <c r="W46" s="24">
        <f t="shared" si="10"/>
        <v>1071423.54</v>
      </c>
      <c r="X46" s="24">
        <f t="shared" si="10"/>
        <v>1071423.54</v>
      </c>
      <c r="Y46" s="24">
        <f t="shared" si="10"/>
        <v>4285694.16</v>
      </c>
      <c r="Z46" s="24">
        <f t="shared" si="10"/>
        <v>10037288.16</v>
      </c>
    </row>
    <row r="47" spans="2:28" x14ac:dyDescent="0.3">
      <c r="B47" s="3"/>
      <c r="C47" s="484" t="s">
        <v>59</v>
      </c>
      <c r="D47" s="484"/>
      <c r="E47" s="484"/>
      <c r="F47" s="484"/>
      <c r="G47" s="484"/>
      <c r="H47" s="484"/>
      <c r="I47" s="485"/>
      <c r="J47" s="484"/>
      <c r="K47" s="486">
        <f>K45+K46</f>
        <v>653153.77777777775</v>
      </c>
      <c r="L47" s="486">
        <f t="shared" ref="L47:Z47" si="11">L45+L46</f>
        <v>653153.77777777775</v>
      </c>
      <c r="M47" s="486">
        <f t="shared" si="11"/>
        <v>653153.77777777775</v>
      </c>
      <c r="N47" s="486">
        <f t="shared" si="11"/>
        <v>653153.77777777775</v>
      </c>
      <c r="O47" s="486">
        <f t="shared" si="11"/>
        <v>2612615.111111111</v>
      </c>
      <c r="P47" s="486">
        <f t="shared" si="11"/>
        <v>868068.0555555555</v>
      </c>
      <c r="Q47" s="486">
        <f t="shared" si="11"/>
        <v>868068.0555555555</v>
      </c>
      <c r="R47" s="486">
        <f t="shared" si="11"/>
        <v>868068.0555555555</v>
      </c>
      <c r="S47" s="486">
        <f t="shared" si="11"/>
        <v>868068.0555555555</v>
      </c>
      <c r="T47" s="486">
        <f t="shared" si="11"/>
        <v>3472272.222222222</v>
      </c>
      <c r="U47" s="486">
        <f t="shared" si="11"/>
        <v>1119433.651111111</v>
      </c>
      <c r="V47" s="486">
        <f t="shared" si="11"/>
        <v>1119433.651111111</v>
      </c>
      <c r="W47" s="486">
        <f t="shared" si="11"/>
        <v>1119433.651111111</v>
      </c>
      <c r="X47" s="486">
        <f t="shared" si="11"/>
        <v>1119433.651111111</v>
      </c>
      <c r="Y47" s="486">
        <f t="shared" si="11"/>
        <v>4477734.6044444442</v>
      </c>
      <c r="Z47" s="486">
        <f t="shared" si="11"/>
        <v>10562621.937777778</v>
      </c>
    </row>
    <row r="48" spans="2:28" x14ac:dyDescent="0.3">
      <c r="B48" s="3"/>
      <c r="C48" s="3"/>
      <c r="D48" s="3"/>
      <c r="E48" s="3"/>
      <c r="F48" s="3"/>
      <c r="G48" s="3"/>
      <c r="H48" s="3"/>
      <c r="I48" s="46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</sheetData>
  <mergeCells count="23">
    <mergeCell ref="C20:I20"/>
    <mergeCell ref="B9:I9"/>
    <mergeCell ref="K10:N10"/>
    <mergeCell ref="P10:S10"/>
    <mergeCell ref="U10:X10"/>
    <mergeCell ref="C12:I12"/>
    <mergeCell ref="C13:I13"/>
    <mergeCell ref="C14:I14"/>
    <mergeCell ref="C15:I15"/>
    <mergeCell ref="C17:I17"/>
    <mergeCell ref="C18:I18"/>
    <mergeCell ref="C19:I19"/>
    <mergeCell ref="K43:N43"/>
    <mergeCell ref="P43:S43"/>
    <mergeCell ref="U43:X43"/>
    <mergeCell ref="B24:I24"/>
    <mergeCell ref="K24:N24"/>
    <mergeCell ref="P24:S24"/>
    <mergeCell ref="U24:X24"/>
    <mergeCell ref="B32:I32"/>
    <mergeCell ref="K32:N32"/>
    <mergeCell ref="P32:S32"/>
    <mergeCell ref="U32:X32"/>
  </mergeCells>
  <pageMargins left="0.7" right="0.7" top="0.75" bottom="0.75" header="0.3" footer="0.3"/>
  <pageSetup paperSize="8" scale="6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4:AB26"/>
  <sheetViews>
    <sheetView topLeftCell="G7" zoomScale="70" zoomScaleNormal="70" zoomScalePageLayoutView="70" workbookViewId="0">
      <selection activeCell="O22" sqref="O22"/>
    </sheetView>
  </sheetViews>
  <sheetFormatPr defaultColWidth="8.6640625" defaultRowHeight="14.4" x14ac:dyDescent="0.3"/>
  <cols>
    <col min="1" max="1" width="2.44140625" style="1" customWidth="1"/>
    <col min="2" max="2" width="5.6640625" style="1" bestFit="1" customWidth="1"/>
    <col min="3" max="3" width="61.44140625" style="1" customWidth="1"/>
    <col min="4" max="4" width="17.44140625" style="1" customWidth="1"/>
    <col min="5" max="5" width="17" style="1" customWidth="1"/>
    <col min="6" max="6" width="17" style="1" bestFit="1" customWidth="1"/>
    <col min="7" max="7" width="17.6640625" style="1" bestFit="1" customWidth="1"/>
    <col min="8" max="8" width="17.44140625" style="1" bestFit="1" customWidth="1"/>
    <col min="9" max="9" width="15" style="458" bestFit="1" customWidth="1"/>
    <col min="10" max="10" width="6.44140625" style="1" customWidth="1"/>
    <col min="11" max="15" width="14.44140625" style="1" bestFit="1" customWidth="1"/>
    <col min="16" max="19" width="17" style="1" hidden="1" customWidth="1"/>
    <col min="20" max="20" width="17" style="1" bestFit="1" customWidth="1"/>
    <col min="21" max="24" width="17" style="1" hidden="1" customWidth="1"/>
    <col min="25" max="25" width="17" style="1" bestFit="1" customWidth="1"/>
    <col min="26" max="26" width="14.6640625" style="1" bestFit="1" customWidth="1"/>
    <col min="27" max="27" width="8.6640625" style="1"/>
    <col min="28" max="28" width="11.109375" style="1" bestFit="1" customWidth="1"/>
    <col min="29" max="256" width="8.6640625" style="1"/>
    <col min="257" max="257" width="2.44140625" style="1" customWidth="1"/>
    <col min="258" max="258" width="11.33203125" style="1" customWidth="1"/>
    <col min="259" max="259" width="61.44140625" style="1" customWidth="1"/>
    <col min="260" max="260" width="15.44140625" style="1" bestFit="1" customWidth="1"/>
    <col min="261" max="261" width="17" style="1" customWidth="1"/>
    <col min="262" max="262" width="17" style="1" bestFit="1" customWidth="1"/>
    <col min="263" max="263" width="17.6640625" style="1" bestFit="1" customWidth="1"/>
    <col min="264" max="264" width="17.44140625" style="1" bestFit="1" customWidth="1"/>
    <col min="265" max="265" width="15" style="1" bestFit="1" customWidth="1"/>
    <col min="266" max="266" width="6.44140625" style="1" customWidth="1"/>
    <col min="267" max="271" width="14.44140625" style="1" bestFit="1" customWidth="1"/>
    <col min="272" max="275" width="0" style="1" hidden="1" customWidth="1"/>
    <col min="276" max="276" width="17" style="1" bestFit="1" customWidth="1"/>
    <col min="277" max="280" width="0" style="1" hidden="1" customWidth="1"/>
    <col min="281" max="281" width="17" style="1" bestFit="1" customWidth="1"/>
    <col min="282" max="282" width="17.6640625" style="1" bestFit="1" customWidth="1"/>
    <col min="283" max="512" width="8.6640625" style="1"/>
    <col min="513" max="513" width="2.44140625" style="1" customWidth="1"/>
    <col min="514" max="514" width="11.33203125" style="1" customWidth="1"/>
    <col min="515" max="515" width="61.44140625" style="1" customWidth="1"/>
    <col min="516" max="516" width="15.44140625" style="1" bestFit="1" customWidth="1"/>
    <col min="517" max="517" width="17" style="1" customWidth="1"/>
    <col min="518" max="518" width="17" style="1" bestFit="1" customWidth="1"/>
    <col min="519" max="519" width="17.6640625" style="1" bestFit="1" customWidth="1"/>
    <col min="520" max="520" width="17.44140625" style="1" bestFit="1" customWidth="1"/>
    <col min="521" max="521" width="15" style="1" bestFit="1" customWidth="1"/>
    <col min="522" max="522" width="6.44140625" style="1" customWidth="1"/>
    <col min="523" max="527" width="14.44140625" style="1" bestFit="1" customWidth="1"/>
    <col min="528" max="531" width="0" style="1" hidden="1" customWidth="1"/>
    <col min="532" max="532" width="17" style="1" bestFit="1" customWidth="1"/>
    <col min="533" max="536" width="0" style="1" hidden="1" customWidth="1"/>
    <col min="537" max="537" width="17" style="1" bestFit="1" customWidth="1"/>
    <col min="538" max="538" width="17.6640625" style="1" bestFit="1" customWidth="1"/>
    <col min="539" max="768" width="8.6640625" style="1"/>
    <col min="769" max="769" width="2.44140625" style="1" customWidth="1"/>
    <col min="770" max="770" width="11.33203125" style="1" customWidth="1"/>
    <col min="771" max="771" width="61.44140625" style="1" customWidth="1"/>
    <col min="772" max="772" width="15.44140625" style="1" bestFit="1" customWidth="1"/>
    <col min="773" max="773" width="17" style="1" customWidth="1"/>
    <col min="774" max="774" width="17" style="1" bestFit="1" customWidth="1"/>
    <col min="775" max="775" width="17.6640625" style="1" bestFit="1" customWidth="1"/>
    <col min="776" max="776" width="17.44140625" style="1" bestFit="1" customWidth="1"/>
    <col min="777" max="777" width="15" style="1" bestFit="1" customWidth="1"/>
    <col min="778" max="778" width="6.44140625" style="1" customWidth="1"/>
    <col min="779" max="783" width="14.44140625" style="1" bestFit="1" customWidth="1"/>
    <col min="784" max="787" width="0" style="1" hidden="1" customWidth="1"/>
    <col min="788" max="788" width="17" style="1" bestFit="1" customWidth="1"/>
    <col min="789" max="792" width="0" style="1" hidden="1" customWidth="1"/>
    <col min="793" max="793" width="17" style="1" bestFit="1" customWidth="1"/>
    <col min="794" max="794" width="17.6640625" style="1" bestFit="1" customWidth="1"/>
    <col min="795" max="1024" width="8.6640625" style="1"/>
    <col min="1025" max="1025" width="2.44140625" style="1" customWidth="1"/>
    <col min="1026" max="1026" width="11.33203125" style="1" customWidth="1"/>
    <col min="1027" max="1027" width="61.44140625" style="1" customWidth="1"/>
    <col min="1028" max="1028" width="15.44140625" style="1" bestFit="1" customWidth="1"/>
    <col min="1029" max="1029" width="17" style="1" customWidth="1"/>
    <col min="1030" max="1030" width="17" style="1" bestFit="1" customWidth="1"/>
    <col min="1031" max="1031" width="17.6640625" style="1" bestFit="1" customWidth="1"/>
    <col min="1032" max="1032" width="17.44140625" style="1" bestFit="1" customWidth="1"/>
    <col min="1033" max="1033" width="15" style="1" bestFit="1" customWidth="1"/>
    <col min="1034" max="1034" width="6.44140625" style="1" customWidth="1"/>
    <col min="1035" max="1039" width="14.44140625" style="1" bestFit="1" customWidth="1"/>
    <col min="1040" max="1043" width="0" style="1" hidden="1" customWidth="1"/>
    <col min="1044" max="1044" width="17" style="1" bestFit="1" customWidth="1"/>
    <col min="1045" max="1048" width="0" style="1" hidden="1" customWidth="1"/>
    <col min="1049" max="1049" width="17" style="1" bestFit="1" customWidth="1"/>
    <col min="1050" max="1050" width="17.6640625" style="1" bestFit="1" customWidth="1"/>
    <col min="1051" max="1280" width="8.6640625" style="1"/>
    <col min="1281" max="1281" width="2.44140625" style="1" customWidth="1"/>
    <col min="1282" max="1282" width="11.33203125" style="1" customWidth="1"/>
    <col min="1283" max="1283" width="61.44140625" style="1" customWidth="1"/>
    <col min="1284" max="1284" width="15.44140625" style="1" bestFit="1" customWidth="1"/>
    <col min="1285" max="1285" width="17" style="1" customWidth="1"/>
    <col min="1286" max="1286" width="17" style="1" bestFit="1" customWidth="1"/>
    <col min="1287" max="1287" width="17.6640625" style="1" bestFit="1" customWidth="1"/>
    <col min="1288" max="1288" width="17.44140625" style="1" bestFit="1" customWidth="1"/>
    <col min="1289" max="1289" width="15" style="1" bestFit="1" customWidth="1"/>
    <col min="1290" max="1290" width="6.44140625" style="1" customWidth="1"/>
    <col min="1291" max="1295" width="14.44140625" style="1" bestFit="1" customWidth="1"/>
    <col min="1296" max="1299" width="0" style="1" hidden="1" customWidth="1"/>
    <col min="1300" max="1300" width="17" style="1" bestFit="1" customWidth="1"/>
    <col min="1301" max="1304" width="0" style="1" hidden="1" customWidth="1"/>
    <col min="1305" max="1305" width="17" style="1" bestFit="1" customWidth="1"/>
    <col min="1306" max="1306" width="17.6640625" style="1" bestFit="1" customWidth="1"/>
    <col min="1307" max="1536" width="8.6640625" style="1"/>
    <col min="1537" max="1537" width="2.44140625" style="1" customWidth="1"/>
    <col min="1538" max="1538" width="11.33203125" style="1" customWidth="1"/>
    <col min="1539" max="1539" width="61.44140625" style="1" customWidth="1"/>
    <col min="1540" max="1540" width="15.44140625" style="1" bestFit="1" customWidth="1"/>
    <col min="1541" max="1541" width="17" style="1" customWidth="1"/>
    <col min="1542" max="1542" width="17" style="1" bestFit="1" customWidth="1"/>
    <col min="1543" max="1543" width="17.6640625" style="1" bestFit="1" customWidth="1"/>
    <col min="1544" max="1544" width="17.44140625" style="1" bestFit="1" customWidth="1"/>
    <col min="1545" max="1545" width="15" style="1" bestFit="1" customWidth="1"/>
    <col min="1546" max="1546" width="6.44140625" style="1" customWidth="1"/>
    <col min="1547" max="1551" width="14.44140625" style="1" bestFit="1" customWidth="1"/>
    <col min="1552" max="1555" width="0" style="1" hidden="1" customWidth="1"/>
    <col min="1556" max="1556" width="17" style="1" bestFit="1" customWidth="1"/>
    <col min="1557" max="1560" width="0" style="1" hidden="1" customWidth="1"/>
    <col min="1561" max="1561" width="17" style="1" bestFit="1" customWidth="1"/>
    <col min="1562" max="1562" width="17.6640625" style="1" bestFit="1" customWidth="1"/>
    <col min="1563" max="1792" width="8.6640625" style="1"/>
    <col min="1793" max="1793" width="2.44140625" style="1" customWidth="1"/>
    <col min="1794" max="1794" width="11.33203125" style="1" customWidth="1"/>
    <col min="1795" max="1795" width="61.44140625" style="1" customWidth="1"/>
    <col min="1796" max="1796" width="15.44140625" style="1" bestFit="1" customWidth="1"/>
    <col min="1797" max="1797" width="17" style="1" customWidth="1"/>
    <col min="1798" max="1798" width="17" style="1" bestFit="1" customWidth="1"/>
    <col min="1799" max="1799" width="17.6640625" style="1" bestFit="1" customWidth="1"/>
    <col min="1800" max="1800" width="17.44140625" style="1" bestFit="1" customWidth="1"/>
    <col min="1801" max="1801" width="15" style="1" bestFit="1" customWidth="1"/>
    <col min="1802" max="1802" width="6.44140625" style="1" customWidth="1"/>
    <col min="1803" max="1807" width="14.44140625" style="1" bestFit="1" customWidth="1"/>
    <col min="1808" max="1811" width="0" style="1" hidden="1" customWidth="1"/>
    <col min="1812" max="1812" width="17" style="1" bestFit="1" customWidth="1"/>
    <col min="1813" max="1816" width="0" style="1" hidden="1" customWidth="1"/>
    <col min="1817" max="1817" width="17" style="1" bestFit="1" customWidth="1"/>
    <col min="1818" max="1818" width="17.6640625" style="1" bestFit="1" customWidth="1"/>
    <col min="1819" max="2048" width="8.6640625" style="1"/>
    <col min="2049" max="2049" width="2.44140625" style="1" customWidth="1"/>
    <col min="2050" max="2050" width="11.33203125" style="1" customWidth="1"/>
    <col min="2051" max="2051" width="61.44140625" style="1" customWidth="1"/>
    <col min="2052" max="2052" width="15.44140625" style="1" bestFit="1" customWidth="1"/>
    <col min="2053" max="2053" width="17" style="1" customWidth="1"/>
    <col min="2054" max="2054" width="17" style="1" bestFit="1" customWidth="1"/>
    <col min="2055" max="2055" width="17.6640625" style="1" bestFit="1" customWidth="1"/>
    <col min="2056" max="2056" width="17.44140625" style="1" bestFit="1" customWidth="1"/>
    <col min="2057" max="2057" width="15" style="1" bestFit="1" customWidth="1"/>
    <col min="2058" max="2058" width="6.44140625" style="1" customWidth="1"/>
    <col min="2059" max="2063" width="14.44140625" style="1" bestFit="1" customWidth="1"/>
    <col min="2064" max="2067" width="0" style="1" hidden="1" customWidth="1"/>
    <col min="2068" max="2068" width="17" style="1" bestFit="1" customWidth="1"/>
    <col min="2069" max="2072" width="0" style="1" hidden="1" customWidth="1"/>
    <col min="2073" max="2073" width="17" style="1" bestFit="1" customWidth="1"/>
    <col min="2074" max="2074" width="17.6640625" style="1" bestFit="1" customWidth="1"/>
    <col min="2075" max="2304" width="8.6640625" style="1"/>
    <col min="2305" max="2305" width="2.44140625" style="1" customWidth="1"/>
    <col min="2306" max="2306" width="11.33203125" style="1" customWidth="1"/>
    <col min="2307" max="2307" width="61.44140625" style="1" customWidth="1"/>
    <col min="2308" max="2308" width="15.44140625" style="1" bestFit="1" customWidth="1"/>
    <col min="2309" max="2309" width="17" style="1" customWidth="1"/>
    <col min="2310" max="2310" width="17" style="1" bestFit="1" customWidth="1"/>
    <col min="2311" max="2311" width="17.6640625" style="1" bestFit="1" customWidth="1"/>
    <col min="2312" max="2312" width="17.44140625" style="1" bestFit="1" customWidth="1"/>
    <col min="2313" max="2313" width="15" style="1" bestFit="1" customWidth="1"/>
    <col min="2314" max="2314" width="6.44140625" style="1" customWidth="1"/>
    <col min="2315" max="2319" width="14.44140625" style="1" bestFit="1" customWidth="1"/>
    <col min="2320" max="2323" width="0" style="1" hidden="1" customWidth="1"/>
    <col min="2324" max="2324" width="17" style="1" bestFit="1" customWidth="1"/>
    <col min="2325" max="2328" width="0" style="1" hidden="1" customWidth="1"/>
    <col min="2329" max="2329" width="17" style="1" bestFit="1" customWidth="1"/>
    <col min="2330" max="2330" width="17.6640625" style="1" bestFit="1" customWidth="1"/>
    <col min="2331" max="2560" width="8.6640625" style="1"/>
    <col min="2561" max="2561" width="2.44140625" style="1" customWidth="1"/>
    <col min="2562" max="2562" width="11.33203125" style="1" customWidth="1"/>
    <col min="2563" max="2563" width="61.44140625" style="1" customWidth="1"/>
    <col min="2564" max="2564" width="15.44140625" style="1" bestFit="1" customWidth="1"/>
    <col min="2565" max="2565" width="17" style="1" customWidth="1"/>
    <col min="2566" max="2566" width="17" style="1" bestFit="1" customWidth="1"/>
    <col min="2567" max="2567" width="17.6640625" style="1" bestFit="1" customWidth="1"/>
    <col min="2568" max="2568" width="17.44140625" style="1" bestFit="1" customWidth="1"/>
    <col min="2569" max="2569" width="15" style="1" bestFit="1" customWidth="1"/>
    <col min="2570" max="2570" width="6.44140625" style="1" customWidth="1"/>
    <col min="2571" max="2575" width="14.44140625" style="1" bestFit="1" customWidth="1"/>
    <col min="2576" max="2579" width="0" style="1" hidden="1" customWidth="1"/>
    <col min="2580" max="2580" width="17" style="1" bestFit="1" customWidth="1"/>
    <col min="2581" max="2584" width="0" style="1" hidden="1" customWidth="1"/>
    <col min="2585" max="2585" width="17" style="1" bestFit="1" customWidth="1"/>
    <col min="2586" max="2586" width="17.6640625" style="1" bestFit="1" customWidth="1"/>
    <col min="2587" max="2816" width="8.6640625" style="1"/>
    <col min="2817" max="2817" width="2.44140625" style="1" customWidth="1"/>
    <col min="2818" max="2818" width="11.33203125" style="1" customWidth="1"/>
    <col min="2819" max="2819" width="61.44140625" style="1" customWidth="1"/>
    <col min="2820" max="2820" width="15.44140625" style="1" bestFit="1" customWidth="1"/>
    <col min="2821" max="2821" width="17" style="1" customWidth="1"/>
    <col min="2822" max="2822" width="17" style="1" bestFit="1" customWidth="1"/>
    <col min="2823" max="2823" width="17.6640625" style="1" bestFit="1" customWidth="1"/>
    <col min="2824" max="2824" width="17.44140625" style="1" bestFit="1" customWidth="1"/>
    <col min="2825" max="2825" width="15" style="1" bestFit="1" customWidth="1"/>
    <col min="2826" max="2826" width="6.44140625" style="1" customWidth="1"/>
    <col min="2827" max="2831" width="14.44140625" style="1" bestFit="1" customWidth="1"/>
    <col min="2832" max="2835" width="0" style="1" hidden="1" customWidth="1"/>
    <col min="2836" max="2836" width="17" style="1" bestFit="1" customWidth="1"/>
    <col min="2837" max="2840" width="0" style="1" hidden="1" customWidth="1"/>
    <col min="2841" max="2841" width="17" style="1" bestFit="1" customWidth="1"/>
    <col min="2842" max="2842" width="17.6640625" style="1" bestFit="1" customWidth="1"/>
    <col min="2843" max="3072" width="8.6640625" style="1"/>
    <col min="3073" max="3073" width="2.44140625" style="1" customWidth="1"/>
    <col min="3074" max="3074" width="11.33203125" style="1" customWidth="1"/>
    <col min="3075" max="3075" width="61.44140625" style="1" customWidth="1"/>
    <col min="3076" max="3076" width="15.44140625" style="1" bestFit="1" customWidth="1"/>
    <col min="3077" max="3077" width="17" style="1" customWidth="1"/>
    <col min="3078" max="3078" width="17" style="1" bestFit="1" customWidth="1"/>
    <col min="3079" max="3079" width="17.6640625" style="1" bestFit="1" customWidth="1"/>
    <col min="3080" max="3080" width="17.44140625" style="1" bestFit="1" customWidth="1"/>
    <col min="3081" max="3081" width="15" style="1" bestFit="1" customWidth="1"/>
    <col min="3082" max="3082" width="6.44140625" style="1" customWidth="1"/>
    <col min="3083" max="3087" width="14.44140625" style="1" bestFit="1" customWidth="1"/>
    <col min="3088" max="3091" width="0" style="1" hidden="1" customWidth="1"/>
    <col min="3092" max="3092" width="17" style="1" bestFit="1" customWidth="1"/>
    <col min="3093" max="3096" width="0" style="1" hidden="1" customWidth="1"/>
    <col min="3097" max="3097" width="17" style="1" bestFit="1" customWidth="1"/>
    <col min="3098" max="3098" width="17.6640625" style="1" bestFit="1" customWidth="1"/>
    <col min="3099" max="3328" width="8.6640625" style="1"/>
    <col min="3329" max="3329" width="2.44140625" style="1" customWidth="1"/>
    <col min="3330" max="3330" width="11.33203125" style="1" customWidth="1"/>
    <col min="3331" max="3331" width="61.44140625" style="1" customWidth="1"/>
    <col min="3332" max="3332" width="15.44140625" style="1" bestFit="1" customWidth="1"/>
    <col min="3333" max="3333" width="17" style="1" customWidth="1"/>
    <col min="3334" max="3334" width="17" style="1" bestFit="1" customWidth="1"/>
    <col min="3335" max="3335" width="17.6640625" style="1" bestFit="1" customWidth="1"/>
    <col min="3336" max="3336" width="17.44140625" style="1" bestFit="1" customWidth="1"/>
    <col min="3337" max="3337" width="15" style="1" bestFit="1" customWidth="1"/>
    <col min="3338" max="3338" width="6.44140625" style="1" customWidth="1"/>
    <col min="3339" max="3343" width="14.44140625" style="1" bestFit="1" customWidth="1"/>
    <col min="3344" max="3347" width="0" style="1" hidden="1" customWidth="1"/>
    <col min="3348" max="3348" width="17" style="1" bestFit="1" customWidth="1"/>
    <col min="3349" max="3352" width="0" style="1" hidden="1" customWidth="1"/>
    <col min="3353" max="3353" width="17" style="1" bestFit="1" customWidth="1"/>
    <col min="3354" max="3354" width="17.6640625" style="1" bestFit="1" customWidth="1"/>
    <col min="3355" max="3584" width="8.6640625" style="1"/>
    <col min="3585" max="3585" width="2.44140625" style="1" customWidth="1"/>
    <col min="3586" max="3586" width="11.33203125" style="1" customWidth="1"/>
    <col min="3587" max="3587" width="61.44140625" style="1" customWidth="1"/>
    <col min="3588" max="3588" width="15.44140625" style="1" bestFit="1" customWidth="1"/>
    <col min="3589" max="3589" width="17" style="1" customWidth="1"/>
    <col min="3590" max="3590" width="17" style="1" bestFit="1" customWidth="1"/>
    <col min="3591" max="3591" width="17.6640625" style="1" bestFit="1" customWidth="1"/>
    <col min="3592" max="3592" width="17.44140625" style="1" bestFit="1" customWidth="1"/>
    <col min="3593" max="3593" width="15" style="1" bestFit="1" customWidth="1"/>
    <col min="3594" max="3594" width="6.44140625" style="1" customWidth="1"/>
    <col min="3595" max="3599" width="14.44140625" style="1" bestFit="1" customWidth="1"/>
    <col min="3600" max="3603" width="0" style="1" hidden="1" customWidth="1"/>
    <col min="3604" max="3604" width="17" style="1" bestFit="1" customWidth="1"/>
    <col min="3605" max="3608" width="0" style="1" hidden="1" customWidth="1"/>
    <col min="3609" max="3609" width="17" style="1" bestFit="1" customWidth="1"/>
    <col min="3610" max="3610" width="17.6640625" style="1" bestFit="1" customWidth="1"/>
    <col min="3611" max="3840" width="8.6640625" style="1"/>
    <col min="3841" max="3841" width="2.44140625" style="1" customWidth="1"/>
    <col min="3842" max="3842" width="11.33203125" style="1" customWidth="1"/>
    <col min="3843" max="3843" width="61.44140625" style="1" customWidth="1"/>
    <col min="3844" max="3844" width="15.44140625" style="1" bestFit="1" customWidth="1"/>
    <col min="3845" max="3845" width="17" style="1" customWidth="1"/>
    <col min="3846" max="3846" width="17" style="1" bestFit="1" customWidth="1"/>
    <col min="3847" max="3847" width="17.6640625" style="1" bestFit="1" customWidth="1"/>
    <col min="3848" max="3848" width="17.44140625" style="1" bestFit="1" customWidth="1"/>
    <col min="3849" max="3849" width="15" style="1" bestFit="1" customWidth="1"/>
    <col min="3850" max="3850" width="6.44140625" style="1" customWidth="1"/>
    <col min="3851" max="3855" width="14.44140625" style="1" bestFit="1" customWidth="1"/>
    <col min="3856" max="3859" width="0" style="1" hidden="1" customWidth="1"/>
    <col min="3860" max="3860" width="17" style="1" bestFit="1" customWidth="1"/>
    <col min="3861" max="3864" width="0" style="1" hidden="1" customWidth="1"/>
    <col min="3865" max="3865" width="17" style="1" bestFit="1" customWidth="1"/>
    <col min="3866" max="3866" width="17.6640625" style="1" bestFit="1" customWidth="1"/>
    <col min="3867" max="4096" width="8.6640625" style="1"/>
    <col min="4097" max="4097" width="2.44140625" style="1" customWidth="1"/>
    <col min="4098" max="4098" width="11.33203125" style="1" customWidth="1"/>
    <col min="4099" max="4099" width="61.44140625" style="1" customWidth="1"/>
    <col min="4100" max="4100" width="15.44140625" style="1" bestFit="1" customWidth="1"/>
    <col min="4101" max="4101" width="17" style="1" customWidth="1"/>
    <col min="4102" max="4102" width="17" style="1" bestFit="1" customWidth="1"/>
    <col min="4103" max="4103" width="17.6640625" style="1" bestFit="1" customWidth="1"/>
    <col min="4104" max="4104" width="17.44140625" style="1" bestFit="1" customWidth="1"/>
    <col min="4105" max="4105" width="15" style="1" bestFit="1" customWidth="1"/>
    <col min="4106" max="4106" width="6.44140625" style="1" customWidth="1"/>
    <col min="4107" max="4111" width="14.44140625" style="1" bestFit="1" customWidth="1"/>
    <col min="4112" max="4115" width="0" style="1" hidden="1" customWidth="1"/>
    <col min="4116" max="4116" width="17" style="1" bestFit="1" customWidth="1"/>
    <col min="4117" max="4120" width="0" style="1" hidden="1" customWidth="1"/>
    <col min="4121" max="4121" width="17" style="1" bestFit="1" customWidth="1"/>
    <col min="4122" max="4122" width="17.6640625" style="1" bestFit="1" customWidth="1"/>
    <col min="4123" max="4352" width="8.6640625" style="1"/>
    <col min="4353" max="4353" width="2.44140625" style="1" customWidth="1"/>
    <col min="4354" max="4354" width="11.33203125" style="1" customWidth="1"/>
    <col min="4355" max="4355" width="61.44140625" style="1" customWidth="1"/>
    <col min="4356" max="4356" width="15.44140625" style="1" bestFit="1" customWidth="1"/>
    <col min="4357" max="4357" width="17" style="1" customWidth="1"/>
    <col min="4358" max="4358" width="17" style="1" bestFit="1" customWidth="1"/>
    <col min="4359" max="4359" width="17.6640625" style="1" bestFit="1" customWidth="1"/>
    <col min="4360" max="4360" width="17.44140625" style="1" bestFit="1" customWidth="1"/>
    <col min="4361" max="4361" width="15" style="1" bestFit="1" customWidth="1"/>
    <col min="4362" max="4362" width="6.44140625" style="1" customWidth="1"/>
    <col min="4363" max="4367" width="14.44140625" style="1" bestFit="1" customWidth="1"/>
    <col min="4368" max="4371" width="0" style="1" hidden="1" customWidth="1"/>
    <col min="4372" max="4372" width="17" style="1" bestFit="1" customWidth="1"/>
    <col min="4373" max="4376" width="0" style="1" hidden="1" customWidth="1"/>
    <col min="4377" max="4377" width="17" style="1" bestFit="1" customWidth="1"/>
    <col min="4378" max="4378" width="17.6640625" style="1" bestFit="1" customWidth="1"/>
    <col min="4379" max="4608" width="8.6640625" style="1"/>
    <col min="4609" max="4609" width="2.44140625" style="1" customWidth="1"/>
    <col min="4610" max="4610" width="11.33203125" style="1" customWidth="1"/>
    <col min="4611" max="4611" width="61.44140625" style="1" customWidth="1"/>
    <col min="4612" max="4612" width="15.44140625" style="1" bestFit="1" customWidth="1"/>
    <col min="4613" max="4613" width="17" style="1" customWidth="1"/>
    <col min="4614" max="4614" width="17" style="1" bestFit="1" customWidth="1"/>
    <col min="4615" max="4615" width="17.6640625" style="1" bestFit="1" customWidth="1"/>
    <col min="4616" max="4616" width="17.44140625" style="1" bestFit="1" customWidth="1"/>
    <col min="4617" max="4617" width="15" style="1" bestFit="1" customWidth="1"/>
    <col min="4618" max="4618" width="6.44140625" style="1" customWidth="1"/>
    <col min="4619" max="4623" width="14.44140625" style="1" bestFit="1" customWidth="1"/>
    <col min="4624" max="4627" width="0" style="1" hidden="1" customWidth="1"/>
    <col min="4628" max="4628" width="17" style="1" bestFit="1" customWidth="1"/>
    <col min="4629" max="4632" width="0" style="1" hidden="1" customWidth="1"/>
    <col min="4633" max="4633" width="17" style="1" bestFit="1" customWidth="1"/>
    <col min="4634" max="4634" width="17.6640625" style="1" bestFit="1" customWidth="1"/>
    <col min="4635" max="4864" width="8.6640625" style="1"/>
    <col min="4865" max="4865" width="2.44140625" style="1" customWidth="1"/>
    <col min="4866" max="4866" width="11.33203125" style="1" customWidth="1"/>
    <col min="4867" max="4867" width="61.44140625" style="1" customWidth="1"/>
    <col min="4868" max="4868" width="15.44140625" style="1" bestFit="1" customWidth="1"/>
    <col min="4869" max="4869" width="17" style="1" customWidth="1"/>
    <col min="4870" max="4870" width="17" style="1" bestFit="1" customWidth="1"/>
    <col min="4871" max="4871" width="17.6640625" style="1" bestFit="1" customWidth="1"/>
    <col min="4872" max="4872" width="17.44140625" style="1" bestFit="1" customWidth="1"/>
    <col min="4873" max="4873" width="15" style="1" bestFit="1" customWidth="1"/>
    <col min="4874" max="4874" width="6.44140625" style="1" customWidth="1"/>
    <col min="4875" max="4879" width="14.44140625" style="1" bestFit="1" customWidth="1"/>
    <col min="4880" max="4883" width="0" style="1" hidden="1" customWidth="1"/>
    <col min="4884" max="4884" width="17" style="1" bestFit="1" customWidth="1"/>
    <col min="4885" max="4888" width="0" style="1" hidden="1" customWidth="1"/>
    <col min="4889" max="4889" width="17" style="1" bestFit="1" customWidth="1"/>
    <col min="4890" max="4890" width="17.6640625" style="1" bestFit="1" customWidth="1"/>
    <col min="4891" max="5120" width="8.6640625" style="1"/>
    <col min="5121" max="5121" width="2.44140625" style="1" customWidth="1"/>
    <col min="5122" max="5122" width="11.33203125" style="1" customWidth="1"/>
    <col min="5123" max="5123" width="61.44140625" style="1" customWidth="1"/>
    <col min="5124" max="5124" width="15.44140625" style="1" bestFit="1" customWidth="1"/>
    <col min="5125" max="5125" width="17" style="1" customWidth="1"/>
    <col min="5126" max="5126" width="17" style="1" bestFit="1" customWidth="1"/>
    <col min="5127" max="5127" width="17.6640625" style="1" bestFit="1" customWidth="1"/>
    <col min="5128" max="5128" width="17.44140625" style="1" bestFit="1" customWidth="1"/>
    <col min="5129" max="5129" width="15" style="1" bestFit="1" customWidth="1"/>
    <col min="5130" max="5130" width="6.44140625" style="1" customWidth="1"/>
    <col min="5131" max="5135" width="14.44140625" style="1" bestFit="1" customWidth="1"/>
    <col min="5136" max="5139" width="0" style="1" hidden="1" customWidth="1"/>
    <col min="5140" max="5140" width="17" style="1" bestFit="1" customWidth="1"/>
    <col min="5141" max="5144" width="0" style="1" hidden="1" customWidth="1"/>
    <col min="5145" max="5145" width="17" style="1" bestFit="1" customWidth="1"/>
    <col min="5146" max="5146" width="17.6640625" style="1" bestFit="1" customWidth="1"/>
    <col min="5147" max="5376" width="8.6640625" style="1"/>
    <col min="5377" max="5377" width="2.44140625" style="1" customWidth="1"/>
    <col min="5378" max="5378" width="11.33203125" style="1" customWidth="1"/>
    <col min="5379" max="5379" width="61.44140625" style="1" customWidth="1"/>
    <col min="5380" max="5380" width="15.44140625" style="1" bestFit="1" customWidth="1"/>
    <col min="5381" max="5381" width="17" style="1" customWidth="1"/>
    <col min="5382" max="5382" width="17" style="1" bestFit="1" customWidth="1"/>
    <col min="5383" max="5383" width="17.6640625" style="1" bestFit="1" customWidth="1"/>
    <col min="5384" max="5384" width="17.44140625" style="1" bestFit="1" customWidth="1"/>
    <col min="5385" max="5385" width="15" style="1" bestFit="1" customWidth="1"/>
    <col min="5386" max="5386" width="6.44140625" style="1" customWidth="1"/>
    <col min="5387" max="5391" width="14.44140625" style="1" bestFit="1" customWidth="1"/>
    <col min="5392" max="5395" width="0" style="1" hidden="1" customWidth="1"/>
    <col min="5396" max="5396" width="17" style="1" bestFit="1" customWidth="1"/>
    <col min="5397" max="5400" width="0" style="1" hidden="1" customWidth="1"/>
    <col min="5401" max="5401" width="17" style="1" bestFit="1" customWidth="1"/>
    <col min="5402" max="5402" width="17.6640625" style="1" bestFit="1" customWidth="1"/>
    <col min="5403" max="5632" width="8.6640625" style="1"/>
    <col min="5633" max="5633" width="2.44140625" style="1" customWidth="1"/>
    <col min="5634" max="5634" width="11.33203125" style="1" customWidth="1"/>
    <col min="5635" max="5635" width="61.44140625" style="1" customWidth="1"/>
    <col min="5636" max="5636" width="15.44140625" style="1" bestFit="1" customWidth="1"/>
    <col min="5637" max="5637" width="17" style="1" customWidth="1"/>
    <col min="5638" max="5638" width="17" style="1" bestFit="1" customWidth="1"/>
    <col min="5639" max="5639" width="17.6640625" style="1" bestFit="1" customWidth="1"/>
    <col min="5640" max="5640" width="17.44140625" style="1" bestFit="1" customWidth="1"/>
    <col min="5641" max="5641" width="15" style="1" bestFit="1" customWidth="1"/>
    <col min="5642" max="5642" width="6.44140625" style="1" customWidth="1"/>
    <col min="5643" max="5647" width="14.44140625" style="1" bestFit="1" customWidth="1"/>
    <col min="5648" max="5651" width="0" style="1" hidden="1" customWidth="1"/>
    <col min="5652" max="5652" width="17" style="1" bestFit="1" customWidth="1"/>
    <col min="5653" max="5656" width="0" style="1" hidden="1" customWidth="1"/>
    <col min="5657" max="5657" width="17" style="1" bestFit="1" customWidth="1"/>
    <col min="5658" max="5658" width="17.6640625" style="1" bestFit="1" customWidth="1"/>
    <col min="5659" max="5888" width="8.6640625" style="1"/>
    <col min="5889" max="5889" width="2.44140625" style="1" customWidth="1"/>
    <col min="5890" max="5890" width="11.33203125" style="1" customWidth="1"/>
    <col min="5891" max="5891" width="61.44140625" style="1" customWidth="1"/>
    <col min="5892" max="5892" width="15.44140625" style="1" bestFit="1" customWidth="1"/>
    <col min="5893" max="5893" width="17" style="1" customWidth="1"/>
    <col min="5894" max="5894" width="17" style="1" bestFit="1" customWidth="1"/>
    <col min="5895" max="5895" width="17.6640625" style="1" bestFit="1" customWidth="1"/>
    <col min="5896" max="5896" width="17.44140625" style="1" bestFit="1" customWidth="1"/>
    <col min="5897" max="5897" width="15" style="1" bestFit="1" customWidth="1"/>
    <col min="5898" max="5898" width="6.44140625" style="1" customWidth="1"/>
    <col min="5899" max="5903" width="14.44140625" style="1" bestFit="1" customWidth="1"/>
    <col min="5904" max="5907" width="0" style="1" hidden="1" customWidth="1"/>
    <col min="5908" max="5908" width="17" style="1" bestFit="1" customWidth="1"/>
    <col min="5909" max="5912" width="0" style="1" hidden="1" customWidth="1"/>
    <col min="5913" max="5913" width="17" style="1" bestFit="1" customWidth="1"/>
    <col min="5914" max="5914" width="17.6640625" style="1" bestFit="1" customWidth="1"/>
    <col min="5915" max="6144" width="8.6640625" style="1"/>
    <col min="6145" max="6145" width="2.44140625" style="1" customWidth="1"/>
    <col min="6146" max="6146" width="11.33203125" style="1" customWidth="1"/>
    <col min="6147" max="6147" width="61.44140625" style="1" customWidth="1"/>
    <col min="6148" max="6148" width="15.44140625" style="1" bestFit="1" customWidth="1"/>
    <col min="6149" max="6149" width="17" style="1" customWidth="1"/>
    <col min="6150" max="6150" width="17" style="1" bestFit="1" customWidth="1"/>
    <col min="6151" max="6151" width="17.6640625" style="1" bestFit="1" customWidth="1"/>
    <col min="6152" max="6152" width="17.44140625" style="1" bestFit="1" customWidth="1"/>
    <col min="6153" max="6153" width="15" style="1" bestFit="1" customWidth="1"/>
    <col min="6154" max="6154" width="6.44140625" style="1" customWidth="1"/>
    <col min="6155" max="6159" width="14.44140625" style="1" bestFit="1" customWidth="1"/>
    <col min="6160" max="6163" width="0" style="1" hidden="1" customWidth="1"/>
    <col min="6164" max="6164" width="17" style="1" bestFit="1" customWidth="1"/>
    <col min="6165" max="6168" width="0" style="1" hidden="1" customWidth="1"/>
    <col min="6169" max="6169" width="17" style="1" bestFit="1" customWidth="1"/>
    <col min="6170" max="6170" width="17.6640625" style="1" bestFit="1" customWidth="1"/>
    <col min="6171" max="6400" width="8.6640625" style="1"/>
    <col min="6401" max="6401" width="2.44140625" style="1" customWidth="1"/>
    <col min="6402" max="6402" width="11.33203125" style="1" customWidth="1"/>
    <col min="6403" max="6403" width="61.44140625" style="1" customWidth="1"/>
    <col min="6404" max="6404" width="15.44140625" style="1" bestFit="1" customWidth="1"/>
    <col min="6405" max="6405" width="17" style="1" customWidth="1"/>
    <col min="6406" max="6406" width="17" style="1" bestFit="1" customWidth="1"/>
    <col min="6407" max="6407" width="17.6640625" style="1" bestFit="1" customWidth="1"/>
    <col min="6408" max="6408" width="17.44140625" style="1" bestFit="1" customWidth="1"/>
    <col min="6409" max="6409" width="15" style="1" bestFit="1" customWidth="1"/>
    <col min="6410" max="6410" width="6.44140625" style="1" customWidth="1"/>
    <col min="6411" max="6415" width="14.44140625" style="1" bestFit="1" customWidth="1"/>
    <col min="6416" max="6419" width="0" style="1" hidden="1" customWidth="1"/>
    <col min="6420" max="6420" width="17" style="1" bestFit="1" customWidth="1"/>
    <col min="6421" max="6424" width="0" style="1" hidden="1" customWidth="1"/>
    <col min="6425" max="6425" width="17" style="1" bestFit="1" customWidth="1"/>
    <col min="6426" max="6426" width="17.6640625" style="1" bestFit="1" customWidth="1"/>
    <col min="6427" max="6656" width="8.6640625" style="1"/>
    <col min="6657" max="6657" width="2.44140625" style="1" customWidth="1"/>
    <col min="6658" max="6658" width="11.33203125" style="1" customWidth="1"/>
    <col min="6659" max="6659" width="61.44140625" style="1" customWidth="1"/>
    <col min="6660" max="6660" width="15.44140625" style="1" bestFit="1" customWidth="1"/>
    <col min="6661" max="6661" width="17" style="1" customWidth="1"/>
    <col min="6662" max="6662" width="17" style="1" bestFit="1" customWidth="1"/>
    <col min="6663" max="6663" width="17.6640625" style="1" bestFit="1" customWidth="1"/>
    <col min="6664" max="6664" width="17.44140625" style="1" bestFit="1" customWidth="1"/>
    <col min="6665" max="6665" width="15" style="1" bestFit="1" customWidth="1"/>
    <col min="6666" max="6666" width="6.44140625" style="1" customWidth="1"/>
    <col min="6667" max="6671" width="14.44140625" style="1" bestFit="1" customWidth="1"/>
    <col min="6672" max="6675" width="0" style="1" hidden="1" customWidth="1"/>
    <col min="6676" max="6676" width="17" style="1" bestFit="1" customWidth="1"/>
    <col min="6677" max="6680" width="0" style="1" hidden="1" customWidth="1"/>
    <col min="6681" max="6681" width="17" style="1" bestFit="1" customWidth="1"/>
    <col min="6682" max="6682" width="17.6640625" style="1" bestFit="1" customWidth="1"/>
    <col min="6683" max="6912" width="8.6640625" style="1"/>
    <col min="6913" max="6913" width="2.44140625" style="1" customWidth="1"/>
    <col min="6914" max="6914" width="11.33203125" style="1" customWidth="1"/>
    <col min="6915" max="6915" width="61.44140625" style="1" customWidth="1"/>
    <col min="6916" max="6916" width="15.44140625" style="1" bestFit="1" customWidth="1"/>
    <col min="6917" max="6917" width="17" style="1" customWidth="1"/>
    <col min="6918" max="6918" width="17" style="1" bestFit="1" customWidth="1"/>
    <col min="6919" max="6919" width="17.6640625" style="1" bestFit="1" customWidth="1"/>
    <col min="6920" max="6920" width="17.44140625" style="1" bestFit="1" customWidth="1"/>
    <col min="6921" max="6921" width="15" style="1" bestFit="1" customWidth="1"/>
    <col min="6922" max="6922" width="6.44140625" style="1" customWidth="1"/>
    <col min="6923" max="6927" width="14.44140625" style="1" bestFit="1" customWidth="1"/>
    <col min="6928" max="6931" width="0" style="1" hidden="1" customWidth="1"/>
    <col min="6932" max="6932" width="17" style="1" bestFit="1" customWidth="1"/>
    <col min="6933" max="6936" width="0" style="1" hidden="1" customWidth="1"/>
    <col min="6937" max="6937" width="17" style="1" bestFit="1" customWidth="1"/>
    <col min="6938" max="6938" width="17.6640625" style="1" bestFit="1" customWidth="1"/>
    <col min="6939" max="7168" width="8.6640625" style="1"/>
    <col min="7169" max="7169" width="2.44140625" style="1" customWidth="1"/>
    <col min="7170" max="7170" width="11.33203125" style="1" customWidth="1"/>
    <col min="7171" max="7171" width="61.44140625" style="1" customWidth="1"/>
    <col min="7172" max="7172" width="15.44140625" style="1" bestFit="1" customWidth="1"/>
    <col min="7173" max="7173" width="17" style="1" customWidth="1"/>
    <col min="7174" max="7174" width="17" style="1" bestFit="1" customWidth="1"/>
    <col min="7175" max="7175" width="17.6640625" style="1" bestFit="1" customWidth="1"/>
    <col min="7176" max="7176" width="17.44140625" style="1" bestFit="1" customWidth="1"/>
    <col min="7177" max="7177" width="15" style="1" bestFit="1" customWidth="1"/>
    <col min="7178" max="7178" width="6.44140625" style="1" customWidth="1"/>
    <col min="7179" max="7183" width="14.44140625" style="1" bestFit="1" customWidth="1"/>
    <col min="7184" max="7187" width="0" style="1" hidden="1" customWidth="1"/>
    <col min="7188" max="7188" width="17" style="1" bestFit="1" customWidth="1"/>
    <col min="7189" max="7192" width="0" style="1" hidden="1" customWidth="1"/>
    <col min="7193" max="7193" width="17" style="1" bestFit="1" customWidth="1"/>
    <col min="7194" max="7194" width="17.6640625" style="1" bestFit="1" customWidth="1"/>
    <col min="7195" max="7424" width="8.6640625" style="1"/>
    <col min="7425" max="7425" width="2.44140625" style="1" customWidth="1"/>
    <col min="7426" max="7426" width="11.33203125" style="1" customWidth="1"/>
    <col min="7427" max="7427" width="61.44140625" style="1" customWidth="1"/>
    <col min="7428" max="7428" width="15.44140625" style="1" bestFit="1" customWidth="1"/>
    <col min="7429" max="7429" width="17" style="1" customWidth="1"/>
    <col min="7430" max="7430" width="17" style="1" bestFit="1" customWidth="1"/>
    <col min="7431" max="7431" width="17.6640625" style="1" bestFit="1" customWidth="1"/>
    <col min="7432" max="7432" width="17.44140625" style="1" bestFit="1" customWidth="1"/>
    <col min="7433" max="7433" width="15" style="1" bestFit="1" customWidth="1"/>
    <col min="7434" max="7434" width="6.44140625" style="1" customWidth="1"/>
    <col min="7435" max="7439" width="14.44140625" style="1" bestFit="1" customWidth="1"/>
    <col min="7440" max="7443" width="0" style="1" hidden="1" customWidth="1"/>
    <col min="7444" max="7444" width="17" style="1" bestFit="1" customWidth="1"/>
    <col min="7445" max="7448" width="0" style="1" hidden="1" customWidth="1"/>
    <col min="7449" max="7449" width="17" style="1" bestFit="1" customWidth="1"/>
    <col min="7450" max="7450" width="17.6640625" style="1" bestFit="1" customWidth="1"/>
    <col min="7451" max="7680" width="8.6640625" style="1"/>
    <col min="7681" max="7681" width="2.44140625" style="1" customWidth="1"/>
    <col min="7682" max="7682" width="11.33203125" style="1" customWidth="1"/>
    <col min="7683" max="7683" width="61.44140625" style="1" customWidth="1"/>
    <col min="7684" max="7684" width="15.44140625" style="1" bestFit="1" customWidth="1"/>
    <col min="7685" max="7685" width="17" style="1" customWidth="1"/>
    <col min="7686" max="7686" width="17" style="1" bestFit="1" customWidth="1"/>
    <col min="7687" max="7687" width="17.6640625" style="1" bestFit="1" customWidth="1"/>
    <col min="7688" max="7688" width="17.44140625" style="1" bestFit="1" customWidth="1"/>
    <col min="7689" max="7689" width="15" style="1" bestFit="1" customWidth="1"/>
    <col min="7690" max="7690" width="6.44140625" style="1" customWidth="1"/>
    <col min="7691" max="7695" width="14.44140625" style="1" bestFit="1" customWidth="1"/>
    <col min="7696" max="7699" width="0" style="1" hidden="1" customWidth="1"/>
    <col min="7700" max="7700" width="17" style="1" bestFit="1" customWidth="1"/>
    <col min="7701" max="7704" width="0" style="1" hidden="1" customWidth="1"/>
    <col min="7705" max="7705" width="17" style="1" bestFit="1" customWidth="1"/>
    <col min="7706" max="7706" width="17.6640625" style="1" bestFit="1" customWidth="1"/>
    <col min="7707" max="7936" width="8.6640625" style="1"/>
    <col min="7937" max="7937" width="2.44140625" style="1" customWidth="1"/>
    <col min="7938" max="7938" width="11.33203125" style="1" customWidth="1"/>
    <col min="7939" max="7939" width="61.44140625" style="1" customWidth="1"/>
    <col min="7940" max="7940" width="15.44140625" style="1" bestFit="1" customWidth="1"/>
    <col min="7941" max="7941" width="17" style="1" customWidth="1"/>
    <col min="7942" max="7942" width="17" style="1" bestFit="1" customWidth="1"/>
    <col min="7943" max="7943" width="17.6640625" style="1" bestFit="1" customWidth="1"/>
    <col min="7944" max="7944" width="17.44140625" style="1" bestFit="1" customWidth="1"/>
    <col min="7945" max="7945" width="15" style="1" bestFit="1" customWidth="1"/>
    <col min="7946" max="7946" width="6.44140625" style="1" customWidth="1"/>
    <col min="7947" max="7951" width="14.44140625" style="1" bestFit="1" customWidth="1"/>
    <col min="7952" max="7955" width="0" style="1" hidden="1" customWidth="1"/>
    <col min="7956" max="7956" width="17" style="1" bestFit="1" customWidth="1"/>
    <col min="7957" max="7960" width="0" style="1" hidden="1" customWidth="1"/>
    <col min="7961" max="7961" width="17" style="1" bestFit="1" customWidth="1"/>
    <col min="7962" max="7962" width="17.6640625" style="1" bestFit="1" customWidth="1"/>
    <col min="7963" max="8192" width="8.6640625" style="1"/>
    <col min="8193" max="8193" width="2.44140625" style="1" customWidth="1"/>
    <col min="8194" max="8194" width="11.33203125" style="1" customWidth="1"/>
    <col min="8195" max="8195" width="61.44140625" style="1" customWidth="1"/>
    <col min="8196" max="8196" width="15.44140625" style="1" bestFit="1" customWidth="1"/>
    <col min="8197" max="8197" width="17" style="1" customWidth="1"/>
    <col min="8198" max="8198" width="17" style="1" bestFit="1" customWidth="1"/>
    <col min="8199" max="8199" width="17.6640625" style="1" bestFit="1" customWidth="1"/>
    <col min="8200" max="8200" width="17.44140625" style="1" bestFit="1" customWidth="1"/>
    <col min="8201" max="8201" width="15" style="1" bestFit="1" customWidth="1"/>
    <col min="8202" max="8202" width="6.44140625" style="1" customWidth="1"/>
    <col min="8203" max="8207" width="14.44140625" style="1" bestFit="1" customWidth="1"/>
    <col min="8208" max="8211" width="0" style="1" hidden="1" customWidth="1"/>
    <col min="8212" max="8212" width="17" style="1" bestFit="1" customWidth="1"/>
    <col min="8213" max="8216" width="0" style="1" hidden="1" customWidth="1"/>
    <col min="8217" max="8217" width="17" style="1" bestFit="1" customWidth="1"/>
    <col min="8218" max="8218" width="17.6640625" style="1" bestFit="1" customWidth="1"/>
    <col min="8219" max="8448" width="8.6640625" style="1"/>
    <col min="8449" max="8449" width="2.44140625" style="1" customWidth="1"/>
    <col min="8450" max="8450" width="11.33203125" style="1" customWidth="1"/>
    <col min="8451" max="8451" width="61.44140625" style="1" customWidth="1"/>
    <col min="8452" max="8452" width="15.44140625" style="1" bestFit="1" customWidth="1"/>
    <col min="8453" max="8453" width="17" style="1" customWidth="1"/>
    <col min="8454" max="8454" width="17" style="1" bestFit="1" customWidth="1"/>
    <col min="8455" max="8455" width="17.6640625" style="1" bestFit="1" customWidth="1"/>
    <col min="8456" max="8456" width="17.44140625" style="1" bestFit="1" customWidth="1"/>
    <col min="8457" max="8457" width="15" style="1" bestFit="1" customWidth="1"/>
    <col min="8458" max="8458" width="6.44140625" style="1" customWidth="1"/>
    <col min="8459" max="8463" width="14.44140625" style="1" bestFit="1" customWidth="1"/>
    <col min="8464" max="8467" width="0" style="1" hidden="1" customWidth="1"/>
    <col min="8468" max="8468" width="17" style="1" bestFit="1" customWidth="1"/>
    <col min="8469" max="8472" width="0" style="1" hidden="1" customWidth="1"/>
    <col min="8473" max="8473" width="17" style="1" bestFit="1" customWidth="1"/>
    <col min="8474" max="8474" width="17.6640625" style="1" bestFit="1" customWidth="1"/>
    <col min="8475" max="8704" width="8.6640625" style="1"/>
    <col min="8705" max="8705" width="2.44140625" style="1" customWidth="1"/>
    <col min="8706" max="8706" width="11.33203125" style="1" customWidth="1"/>
    <col min="8707" max="8707" width="61.44140625" style="1" customWidth="1"/>
    <col min="8708" max="8708" width="15.44140625" style="1" bestFit="1" customWidth="1"/>
    <col min="8709" max="8709" width="17" style="1" customWidth="1"/>
    <col min="8710" max="8710" width="17" style="1" bestFit="1" customWidth="1"/>
    <col min="8711" max="8711" width="17.6640625" style="1" bestFit="1" customWidth="1"/>
    <col min="8712" max="8712" width="17.44140625" style="1" bestFit="1" customWidth="1"/>
    <col min="8713" max="8713" width="15" style="1" bestFit="1" customWidth="1"/>
    <col min="8714" max="8714" width="6.44140625" style="1" customWidth="1"/>
    <col min="8715" max="8719" width="14.44140625" style="1" bestFit="1" customWidth="1"/>
    <col min="8720" max="8723" width="0" style="1" hidden="1" customWidth="1"/>
    <col min="8724" max="8724" width="17" style="1" bestFit="1" customWidth="1"/>
    <col min="8725" max="8728" width="0" style="1" hidden="1" customWidth="1"/>
    <col min="8729" max="8729" width="17" style="1" bestFit="1" customWidth="1"/>
    <col min="8730" max="8730" width="17.6640625" style="1" bestFit="1" customWidth="1"/>
    <col min="8731" max="8960" width="8.6640625" style="1"/>
    <col min="8961" max="8961" width="2.44140625" style="1" customWidth="1"/>
    <col min="8962" max="8962" width="11.33203125" style="1" customWidth="1"/>
    <col min="8963" max="8963" width="61.44140625" style="1" customWidth="1"/>
    <col min="8964" max="8964" width="15.44140625" style="1" bestFit="1" customWidth="1"/>
    <col min="8965" max="8965" width="17" style="1" customWidth="1"/>
    <col min="8966" max="8966" width="17" style="1" bestFit="1" customWidth="1"/>
    <col min="8967" max="8967" width="17.6640625" style="1" bestFit="1" customWidth="1"/>
    <col min="8968" max="8968" width="17.44140625" style="1" bestFit="1" customWidth="1"/>
    <col min="8969" max="8969" width="15" style="1" bestFit="1" customWidth="1"/>
    <col min="8970" max="8970" width="6.44140625" style="1" customWidth="1"/>
    <col min="8971" max="8975" width="14.44140625" style="1" bestFit="1" customWidth="1"/>
    <col min="8976" max="8979" width="0" style="1" hidden="1" customWidth="1"/>
    <col min="8980" max="8980" width="17" style="1" bestFit="1" customWidth="1"/>
    <col min="8981" max="8984" width="0" style="1" hidden="1" customWidth="1"/>
    <col min="8985" max="8985" width="17" style="1" bestFit="1" customWidth="1"/>
    <col min="8986" max="8986" width="17.6640625" style="1" bestFit="1" customWidth="1"/>
    <col min="8987" max="9216" width="8.6640625" style="1"/>
    <col min="9217" max="9217" width="2.44140625" style="1" customWidth="1"/>
    <col min="9218" max="9218" width="11.33203125" style="1" customWidth="1"/>
    <col min="9219" max="9219" width="61.44140625" style="1" customWidth="1"/>
    <col min="9220" max="9220" width="15.44140625" style="1" bestFit="1" customWidth="1"/>
    <col min="9221" max="9221" width="17" style="1" customWidth="1"/>
    <col min="9222" max="9222" width="17" style="1" bestFit="1" customWidth="1"/>
    <col min="9223" max="9223" width="17.6640625" style="1" bestFit="1" customWidth="1"/>
    <col min="9224" max="9224" width="17.44140625" style="1" bestFit="1" customWidth="1"/>
    <col min="9225" max="9225" width="15" style="1" bestFit="1" customWidth="1"/>
    <col min="9226" max="9226" width="6.44140625" style="1" customWidth="1"/>
    <col min="9227" max="9231" width="14.44140625" style="1" bestFit="1" customWidth="1"/>
    <col min="9232" max="9235" width="0" style="1" hidden="1" customWidth="1"/>
    <col min="9236" max="9236" width="17" style="1" bestFit="1" customWidth="1"/>
    <col min="9237" max="9240" width="0" style="1" hidden="1" customWidth="1"/>
    <col min="9241" max="9241" width="17" style="1" bestFit="1" customWidth="1"/>
    <col min="9242" max="9242" width="17.6640625" style="1" bestFit="1" customWidth="1"/>
    <col min="9243" max="9472" width="8.6640625" style="1"/>
    <col min="9473" max="9473" width="2.44140625" style="1" customWidth="1"/>
    <col min="9474" max="9474" width="11.33203125" style="1" customWidth="1"/>
    <col min="9475" max="9475" width="61.44140625" style="1" customWidth="1"/>
    <col min="9476" max="9476" width="15.44140625" style="1" bestFit="1" customWidth="1"/>
    <col min="9477" max="9477" width="17" style="1" customWidth="1"/>
    <col min="9478" max="9478" width="17" style="1" bestFit="1" customWidth="1"/>
    <col min="9479" max="9479" width="17.6640625" style="1" bestFit="1" customWidth="1"/>
    <col min="9480" max="9480" width="17.44140625" style="1" bestFit="1" customWidth="1"/>
    <col min="9481" max="9481" width="15" style="1" bestFit="1" customWidth="1"/>
    <col min="9482" max="9482" width="6.44140625" style="1" customWidth="1"/>
    <col min="9483" max="9487" width="14.44140625" style="1" bestFit="1" customWidth="1"/>
    <col min="9488" max="9491" width="0" style="1" hidden="1" customWidth="1"/>
    <col min="9492" max="9492" width="17" style="1" bestFit="1" customWidth="1"/>
    <col min="9493" max="9496" width="0" style="1" hidden="1" customWidth="1"/>
    <col min="9497" max="9497" width="17" style="1" bestFit="1" customWidth="1"/>
    <col min="9498" max="9498" width="17.6640625" style="1" bestFit="1" customWidth="1"/>
    <col min="9499" max="9728" width="8.6640625" style="1"/>
    <col min="9729" max="9729" width="2.44140625" style="1" customWidth="1"/>
    <col min="9730" max="9730" width="11.33203125" style="1" customWidth="1"/>
    <col min="9731" max="9731" width="61.44140625" style="1" customWidth="1"/>
    <col min="9732" max="9732" width="15.44140625" style="1" bestFit="1" customWidth="1"/>
    <col min="9733" max="9733" width="17" style="1" customWidth="1"/>
    <col min="9734" max="9734" width="17" style="1" bestFit="1" customWidth="1"/>
    <col min="9735" max="9735" width="17.6640625" style="1" bestFit="1" customWidth="1"/>
    <col min="9736" max="9736" width="17.44140625" style="1" bestFit="1" customWidth="1"/>
    <col min="9737" max="9737" width="15" style="1" bestFit="1" customWidth="1"/>
    <col min="9738" max="9738" width="6.44140625" style="1" customWidth="1"/>
    <col min="9739" max="9743" width="14.44140625" style="1" bestFit="1" customWidth="1"/>
    <col min="9744" max="9747" width="0" style="1" hidden="1" customWidth="1"/>
    <col min="9748" max="9748" width="17" style="1" bestFit="1" customWidth="1"/>
    <col min="9749" max="9752" width="0" style="1" hidden="1" customWidth="1"/>
    <col min="9753" max="9753" width="17" style="1" bestFit="1" customWidth="1"/>
    <col min="9754" max="9754" width="17.6640625" style="1" bestFit="1" customWidth="1"/>
    <col min="9755" max="9984" width="8.6640625" style="1"/>
    <col min="9985" max="9985" width="2.44140625" style="1" customWidth="1"/>
    <col min="9986" max="9986" width="11.33203125" style="1" customWidth="1"/>
    <col min="9987" max="9987" width="61.44140625" style="1" customWidth="1"/>
    <col min="9988" max="9988" width="15.44140625" style="1" bestFit="1" customWidth="1"/>
    <col min="9989" max="9989" width="17" style="1" customWidth="1"/>
    <col min="9990" max="9990" width="17" style="1" bestFit="1" customWidth="1"/>
    <col min="9991" max="9991" width="17.6640625" style="1" bestFit="1" customWidth="1"/>
    <col min="9992" max="9992" width="17.44140625" style="1" bestFit="1" customWidth="1"/>
    <col min="9993" max="9993" width="15" style="1" bestFit="1" customWidth="1"/>
    <col min="9994" max="9994" width="6.44140625" style="1" customWidth="1"/>
    <col min="9995" max="9999" width="14.44140625" style="1" bestFit="1" customWidth="1"/>
    <col min="10000" max="10003" width="0" style="1" hidden="1" customWidth="1"/>
    <col min="10004" max="10004" width="17" style="1" bestFit="1" customWidth="1"/>
    <col min="10005" max="10008" width="0" style="1" hidden="1" customWidth="1"/>
    <col min="10009" max="10009" width="17" style="1" bestFit="1" customWidth="1"/>
    <col min="10010" max="10010" width="17.6640625" style="1" bestFit="1" customWidth="1"/>
    <col min="10011" max="10240" width="8.6640625" style="1"/>
    <col min="10241" max="10241" width="2.44140625" style="1" customWidth="1"/>
    <col min="10242" max="10242" width="11.33203125" style="1" customWidth="1"/>
    <col min="10243" max="10243" width="61.44140625" style="1" customWidth="1"/>
    <col min="10244" max="10244" width="15.44140625" style="1" bestFit="1" customWidth="1"/>
    <col min="10245" max="10245" width="17" style="1" customWidth="1"/>
    <col min="10246" max="10246" width="17" style="1" bestFit="1" customWidth="1"/>
    <col min="10247" max="10247" width="17.6640625" style="1" bestFit="1" customWidth="1"/>
    <col min="10248" max="10248" width="17.44140625" style="1" bestFit="1" customWidth="1"/>
    <col min="10249" max="10249" width="15" style="1" bestFit="1" customWidth="1"/>
    <col min="10250" max="10250" width="6.44140625" style="1" customWidth="1"/>
    <col min="10251" max="10255" width="14.44140625" style="1" bestFit="1" customWidth="1"/>
    <col min="10256" max="10259" width="0" style="1" hidden="1" customWidth="1"/>
    <col min="10260" max="10260" width="17" style="1" bestFit="1" customWidth="1"/>
    <col min="10261" max="10264" width="0" style="1" hidden="1" customWidth="1"/>
    <col min="10265" max="10265" width="17" style="1" bestFit="1" customWidth="1"/>
    <col min="10266" max="10266" width="17.6640625" style="1" bestFit="1" customWidth="1"/>
    <col min="10267" max="10496" width="8.6640625" style="1"/>
    <col min="10497" max="10497" width="2.44140625" style="1" customWidth="1"/>
    <col min="10498" max="10498" width="11.33203125" style="1" customWidth="1"/>
    <col min="10499" max="10499" width="61.44140625" style="1" customWidth="1"/>
    <col min="10500" max="10500" width="15.44140625" style="1" bestFit="1" customWidth="1"/>
    <col min="10501" max="10501" width="17" style="1" customWidth="1"/>
    <col min="10502" max="10502" width="17" style="1" bestFit="1" customWidth="1"/>
    <col min="10503" max="10503" width="17.6640625" style="1" bestFit="1" customWidth="1"/>
    <col min="10504" max="10504" width="17.44140625" style="1" bestFit="1" customWidth="1"/>
    <col min="10505" max="10505" width="15" style="1" bestFit="1" customWidth="1"/>
    <col min="10506" max="10506" width="6.44140625" style="1" customWidth="1"/>
    <col min="10507" max="10511" width="14.44140625" style="1" bestFit="1" customWidth="1"/>
    <col min="10512" max="10515" width="0" style="1" hidden="1" customWidth="1"/>
    <col min="10516" max="10516" width="17" style="1" bestFit="1" customWidth="1"/>
    <col min="10517" max="10520" width="0" style="1" hidden="1" customWidth="1"/>
    <col min="10521" max="10521" width="17" style="1" bestFit="1" customWidth="1"/>
    <col min="10522" max="10522" width="17.6640625" style="1" bestFit="1" customWidth="1"/>
    <col min="10523" max="10752" width="8.6640625" style="1"/>
    <col min="10753" max="10753" width="2.44140625" style="1" customWidth="1"/>
    <col min="10754" max="10754" width="11.33203125" style="1" customWidth="1"/>
    <col min="10755" max="10755" width="61.44140625" style="1" customWidth="1"/>
    <col min="10756" max="10756" width="15.44140625" style="1" bestFit="1" customWidth="1"/>
    <col min="10757" max="10757" width="17" style="1" customWidth="1"/>
    <col min="10758" max="10758" width="17" style="1" bestFit="1" customWidth="1"/>
    <col min="10759" max="10759" width="17.6640625" style="1" bestFit="1" customWidth="1"/>
    <col min="10760" max="10760" width="17.44140625" style="1" bestFit="1" customWidth="1"/>
    <col min="10761" max="10761" width="15" style="1" bestFit="1" customWidth="1"/>
    <col min="10762" max="10762" width="6.44140625" style="1" customWidth="1"/>
    <col min="10763" max="10767" width="14.44140625" style="1" bestFit="1" customWidth="1"/>
    <col min="10768" max="10771" width="0" style="1" hidden="1" customWidth="1"/>
    <col min="10772" max="10772" width="17" style="1" bestFit="1" customWidth="1"/>
    <col min="10773" max="10776" width="0" style="1" hidden="1" customWidth="1"/>
    <col min="10777" max="10777" width="17" style="1" bestFit="1" customWidth="1"/>
    <col min="10778" max="10778" width="17.6640625" style="1" bestFit="1" customWidth="1"/>
    <col min="10779" max="11008" width="8.6640625" style="1"/>
    <col min="11009" max="11009" width="2.44140625" style="1" customWidth="1"/>
    <col min="11010" max="11010" width="11.33203125" style="1" customWidth="1"/>
    <col min="11011" max="11011" width="61.44140625" style="1" customWidth="1"/>
    <col min="11012" max="11012" width="15.44140625" style="1" bestFit="1" customWidth="1"/>
    <col min="11013" max="11013" width="17" style="1" customWidth="1"/>
    <col min="11014" max="11014" width="17" style="1" bestFit="1" customWidth="1"/>
    <col min="11015" max="11015" width="17.6640625" style="1" bestFit="1" customWidth="1"/>
    <col min="11016" max="11016" width="17.44140625" style="1" bestFit="1" customWidth="1"/>
    <col min="11017" max="11017" width="15" style="1" bestFit="1" customWidth="1"/>
    <col min="11018" max="11018" width="6.44140625" style="1" customWidth="1"/>
    <col min="11019" max="11023" width="14.44140625" style="1" bestFit="1" customWidth="1"/>
    <col min="11024" max="11027" width="0" style="1" hidden="1" customWidth="1"/>
    <col min="11028" max="11028" width="17" style="1" bestFit="1" customWidth="1"/>
    <col min="11029" max="11032" width="0" style="1" hidden="1" customWidth="1"/>
    <col min="11033" max="11033" width="17" style="1" bestFit="1" customWidth="1"/>
    <col min="11034" max="11034" width="17.6640625" style="1" bestFit="1" customWidth="1"/>
    <col min="11035" max="11264" width="8.6640625" style="1"/>
    <col min="11265" max="11265" width="2.44140625" style="1" customWidth="1"/>
    <col min="11266" max="11266" width="11.33203125" style="1" customWidth="1"/>
    <col min="11267" max="11267" width="61.44140625" style="1" customWidth="1"/>
    <col min="11268" max="11268" width="15.44140625" style="1" bestFit="1" customWidth="1"/>
    <col min="11269" max="11269" width="17" style="1" customWidth="1"/>
    <col min="11270" max="11270" width="17" style="1" bestFit="1" customWidth="1"/>
    <col min="11271" max="11271" width="17.6640625" style="1" bestFit="1" customWidth="1"/>
    <col min="11272" max="11272" width="17.44140625" style="1" bestFit="1" customWidth="1"/>
    <col min="11273" max="11273" width="15" style="1" bestFit="1" customWidth="1"/>
    <col min="11274" max="11274" width="6.44140625" style="1" customWidth="1"/>
    <col min="11275" max="11279" width="14.44140625" style="1" bestFit="1" customWidth="1"/>
    <col min="11280" max="11283" width="0" style="1" hidden="1" customWidth="1"/>
    <col min="11284" max="11284" width="17" style="1" bestFit="1" customWidth="1"/>
    <col min="11285" max="11288" width="0" style="1" hidden="1" customWidth="1"/>
    <col min="11289" max="11289" width="17" style="1" bestFit="1" customWidth="1"/>
    <col min="11290" max="11290" width="17.6640625" style="1" bestFit="1" customWidth="1"/>
    <col min="11291" max="11520" width="8.6640625" style="1"/>
    <col min="11521" max="11521" width="2.44140625" style="1" customWidth="1"/>
    <col min="11522" max="11522" width="11.33203125" style="1" customWidth="1"/>
    <col min="11523" max="11523" width="61.44140625" style="1" customWidth="1"/>
    <col min="11524" max="11524" width="15.44140625" style="1" bestFit="1" customWidth="1"/>
    <col min="11525" max="11525" width="17" style="1" customWidth="1"/>
    <col min="11526" max="11526" width="17" style="1" bestFit="1" customWidth="1"/>
    <col min="11527" max="11527" width="17.6640625" style="1" bestFit="1" customWidth="1"/>
    <col min="11528" max="11528" width="17.44140625" style="1" bestFit="1" customWidth="1"/>
    <col min="11529" max="11529" width="15" style="1" bestFit="1" customWidth="1"/>
    <col min="11530" max="11530" width="6.44140625" style="1" customWidth="1"/>
    <col min="11531" max="11535" width="14.44140625" style="1" bestFit="1" customWidth="1"/>
    <col min="11536" max="11539" width="0" style="1" hidden="1" customWidth="1"/>
    <col min="11540" max="11540" width="17" style="1" bestFit="1" customWidth="1"/>
    <col min="11541" max="11544" width="0" style="1" hidden="1" customWidth="1"/>
    <col min="11545" max="11545" width="17" style="1" bestFit="1" customWidth="1"/>
    <col min="11546" max="11546" width="17.6640625" style="1" bestFit="1" customWidth="1"/>
    <col min="11547" max="11776" width="8.6640625" style="1"/>
    <col min="11777" max="11777" width="2.44140625" style="1" customWidth="1"/>
    <col min="11778" max="11778" width="11.33203125" style="1" customWidth="1"/>
    <col min="11779" max="11779" width="61.44140625" style="1" customWidth="1"/>
    <col min="11780" max="11780" width="15.44140625" style="1" bestFit="1" customWidth="1"/>
    <col min="11781" max="11781" width="17" style="1" customWidth="1"/>
    <col min="11782" max="11782" width="17" style="1" bestFit="1" customWidth="1"/>
    <col min="11783" max="11783" width="17.6640625" style="1" bestFit="1" customWidth="1"/>
    <col min="11784" max="11784" width="17.44140625" style="1" bestFit="1" customWidth="1"/>
    <col min="11785" max="11785" width="15" style="1" bestFit="1" customWidth="1"/>
    <col min="11786" max="11786" width="6.44140625" style="1" customWidth="1"/>
    <col min="11787" max="11791" width="14.44140625" style="1" bestFit="1" customWidth="1"/>
    <col min="11792" max="11795" width="0" style="1" hidden="1" customWidth="1"/>
    <col min="11796" max="11796" width="17" style="1" bestFit="1" customWidth="1"/>
    <col min="11797" max="11800" width="0" style="1" hidden="1" customWidth="1"/>
    <col min="11801" max="11801" width="17" style="1" bestFit="1" customWidth="1"/>
    <col min="11802" max="11802" width="17.6640625" style="1" bestFit="1" customWidth="1"/>
    <col min="11803" max="12032" width="8.6640625" style="1"/>
    <col min="12033" max="12033" width="2.44140625" style="1" customWidth="1"/>
    <col min="12034" max="12034" width="11.33203125" style="1" customWidth="1"/>
    <col min="12035" max="12035" width="61.44140625" style="1" customWidth="1"/>
    <col min="12036" max="12036" width="15.44140625" style="1" bestFit="1" customWidth="1"/>
    <col min="12037" max="12037" width="17" style="1" customWidth="1"/>
    <col min="12038" max="12038" width="17" style="1" bestFit="1" customWidth="1"/>
    <col min="12039" max="12039" width="17.6640625" style="1" bestFit="1" customWidth="1"/>
    <col min="12040" max="12040" width="17.44140625" style="1" bestFit="1" customWidth="1"/>
    <col min="12041" max="12041" width="15" style="1" bestFit="1" customWidth="1"/>
    <col min="12042" max="12042" width="6.44140625" style="1" customWidth="1"/>
    <col min="12043" max="12047" width="14.44140625" style="1" bestFit="1" customWidth="1"/>
    <col min="12048" max="12051" width="0" style="1" hidden="1" customWidth="1"/>
    <col min="12052" max="12052" width="17" style="1" bestFit="1" customWidth="1"/>
    <col min="12053" max="12056" width="0" style="1" hidden="1" customWidth="1"/>
    <col min="12057" max="12057" width="17" style="1" bestFit="1" customWidth="1"/>
    <col min="12058" max="12058" width="17.6640625" style="1" bestFit="1" customWidth="1"/>
    <col min="12059" max="12288" width="8.6640625" style="1"/>
    <col min="12289" max="12289" width="2.44140625" style="1" customWidth="1"/>
    <col min="12290" max="12290" width="11.33203125" style="1" customWidth="1"/>
    <col min="12291" max="12291" width="61.44140625" style="1" customWidth="1"/>
    <col min="12292" max="12292" width="15.44140625" style="1" bestFit="1" customWidth="1"/>
    <col min="12293" max="12293" width="17" style="1" customWidth="1"/>
    <col min="12294" max="12294" width="17" style="1" bestFit="1" customWidth="1"/>
    <col min="12295" max="12295" width="17.6640625" style="1" bestFit="1" customWidth="1"/>
    <col min="12296" max="12296" width="17.44140625" style="1" bestFit="1" customWidth="1"/>
    <col min="12297" max="12297" width="15" style="1" bestFit="1" customWidth="1"/>
    <col min="12298" max="12298" width="6.44140625" style="1" customWidth="1"/>
    <col min="12299" max="12303" width="14.44140625" style="1" bestFit="1" customWidth="1"/>
    <col min="12304" max="12307" width="0" style="1" hidden="1" customWidth="1"/>
    <col min="12308" max="12308" width="17" style="1" bestFit="1" customWidth="1"/>
    <col min="12309" max="12312" width="0" style="1" hidden="1" customWidth="1"/>
    <col min="12313" max="12313" width="17" style="1" bestFit="1" customWidth="1"/>
    <col min="12314" max="12314" width="17.6640625" style="1" bestFit="1" customWidth="1"/>
    <col min="12315" max="12544" width="8.6640625" style="1"/>
    <col min="12545" max="12545" width="2.44140625" style="1" customWidth="1"/>
    <col min="12546" max="12546" width="11.33203125" style="1" customWidth="1"/>
    <col min="12547" max="12547" width="61.44140625" style="1" customWidth="1"/>
    <col min="12548" max="12548" width="15.44140625" style="1" bestFit="1" customWidth="1"/>
    <col min="12549" max="12549" width="17" style="1" customWidth="1"/>
    <col min="12550" max="12550" width="17" style="1" bestFit="1" customWidth="1"/>
    <col min="12551" max="12551" width="17.6640625" style="1" bestFit="1" customWidth="1"/>
    <col min="12552" max="12552" width="17.44140625" style="1" bestFit="1" customWidth="1"/>
    <col min="12553" max="12553" width="15" style="1" bestFit="1" customWidth="1"/>
    <col min="12554" max="12554" width="6.44140625" style="1" customWidth="1"/>
    <col min="12555" max="12559" width="14.44140625" style="1" bestFit="1" customWidth="1"/>
    <col min="12560" max="12563" width="0" style="1" hidden="1" customWidth="1"/>
    <col min="12564" max="12564" width="17" style="1" bestFit="1" customWidth="1"/>
    <col min="12565" max="12568" width="0" style="1" hidden="1" customWidth="1"/>
    <col min="12569" max="12569" width="17" style="1" bestFit="1" customWidth="1"/>
    <col min="12570" max="12570" width="17.6640625" style="1" bestFit="1" customWidth="1"/>
    <col min="12571" max="12800" width="8.6640625" style="1"/>
    <col min="12801" max="12801" width="2.44140625" style="1" customWidth="1"/>
    <col min="12802" max="12802" width="11.33203125" style="1" customWidth="1"/>
    <col min="12803" max="12803" width="61.44140625" style="1" customWidth="1"/>
    <col min="12804" max="12804" width="15.44140625" style="1" bestFit="1" customWidth="1"/>
    <col min="12805" max="12805" width="17" style="1" customWidth="1"/>
    <col min="12806" max="12806" width="17" style="1" bestFit="1" customWidth="1"/>
    <col min="12807" max="12807" width="17.6640625" style="1" bestFit="1" customWidth="1"/>
    <col min="12808" max="12808" width="17.44140625" style="1" bestFit="1" customWidth="1"/>
    <col min="12809" max="12809" width="15" style="1" bestFit="1" customWidth="1"/>
    <col min="12810" max="12810" width="6.44140625" style="1" customWidth="1"/>
    <col min="12811" max="12815" width="14.44140625" style="1" bestFit="1" customWidth="1"/>
    <col min="12816" max="12819" width="0" style="1" hidden="1" customWidth="1"/>
    <col min="12820" max="12820" width="17" style="1" bestFit="1" customWidth="1"/>
    <col min="12821" max="12824" width="0" style="1" hidden="1" customWidth="1"/>
    <col min="12825" max="12825" width="17" style="1" bestFit="1" customWidth="1"/>
    <col min="12826" max="12826" width="17.6640625" style="1" bestFit="1" customWidth="1"/>
    <col min="12827" max="13056" width="8.6640625" style="1"/>
    <col min="13057" max="13057" width="2.44140625" style="1" customWidth="1"/>
    <col min="13058" max="13058" width="11.33203125" style="1" customWidth="1"/>
    <col min="13059" max="13059" width="61.44140625" style="1" customWidth="1"/>
    <col min="13060" max="13060" width="15.44140625" style="1" bestFit="1" customWidth="1"/>
    <col min="13061" max="13061" width="17" style="1" customWidth="1"/>
    <col min="13062" max="13062" width="17" style="1" bestFit="1" customWidth="1"/>
    <col min="13063" max="13063" width="17.6640625" style="1" bestFit="1" customWidth="1"/>
    <col min="13064" max="13064" width="17.44140625" style="1" bestFit="1" customWidth="1"/>
    <col min="13065" max="13065" width="15" style="1" bestFit="1" customWidth="1"/>
    <col min="13066" max="13066" width="6.44140625" style="1" customWidth="1"/>
    <col min="13067" max="13071" width="14.44140625" style="1" bestFit="1" customWidth="1"/>
    <col min="13072" max="13075" width="0" style="1" hidden="1" customWidth="1"/>
    <col min="13076" max="13076" width="17" style="1" bestFit="1" customWidth="1"/>
    <col min="13077" max="13080" width="0" style="1" hidden="1" customWidth="1"/>
    <col min="13081" max="13081" width="17" style="1" bestFit="1" customWidth="1"/>
    <col min="13082" max="13082" width="17.6640625" style="1" bestFit="1" customWidth="1"/>
    <col min="13083" max="13312" width="8.6640625" style="1"/>
    <col min="13313" max="13313" width="2.44140625" style="1" customWidth="1"/>
    <col min="13314" max="13314" width="11.33203125" style="1" customWidth="1"/>
    <col min="13315" max="13315" width="61.44140625" style="1" customWidth="1"/>
    <col min="13316" max="13316" width="15.44140625" style="1" bestFit="1" customWidth="1"/>
    <col min="13317" max="13317" width="17" style="1" customWidth="1"/>
    <col min="13318" max="13318" width="17" style="1" bestFit="1" customWidth="1"/>
    <col min="13319" max="13319" width="17.6640625" style="1" bestFit="1" customWidth="1"/>
    <col min="13320" max="13320" width="17.44140625" style="1" bestFit="1" customWidth="1"/>
    <col min="13321" max="13321" width="15" style="1" bestFit="1" customWidth="1"/>
    <col min="13322" max="13322" width="6.44140625" style="1" customWidth="1"/>
    <col min="13323" max="13327" width="14.44140625" style="1" bestFit="1" customWidth="1"/>
    <col min="13328" max="13331" width="0" style="1" hidden="1" customWidth="1"/>
    <col min="13332" max="13332" width="17" style="1" bestFit="1" customWidth="1"/>
    <col min="13333" max="13336" width="0" style="1" hidden="1" customWidth="1"/>
    <col min="13337" max="13337" width="17" style="1" bestFit="1" customWidth="1"/>
    <col min="13338" max="13338" width="17.6640625" style="1" bestFit="1" customWidth="1"/>
    <col min="13339" max="13568" width="8.6640625" style="1"/>
    <col min="13569" max="13569" width="2.44140625" style="1" customWidth="1"/>
    <col min="13570" max="13570" width="11.33203125" style="1" customWidth="1"/>
    <col min="13571" max="13571" width="61.44140625" style="1" customWidth="1"/>
    <col min="13572" max="13572" width="15.44140625" style="1" bestFit="1" customWidth="1"/>
    <col min="13573" max="13573" width="17" style="1" customWidth="1"/>
    <col min="13574" max="13574" width="17" style="1" bestFit="1" customWidth="1"/>
    <col min="13575" max="13575" width="17.6640625" style="1" bestFit="1" customWidth="1"/>
    <col min="13576" max="13576" width="17.44140625" style="1" bestFit="1" customWidth="1"/>
    <col min="13577" max="13577" width="15" style="1" bestFit="1" customWidth="1"/>
    <col min="13578" max="13578" width="6.44140625" style="1" customWidth="1"/>
    <col min="13579" max="13583" width="14.44140625" style="1" bestFit="1" customWidth="1"/>
    <col min="13584" max="13587" width="0" style="1" hidden="1" customWidth="1"/>
    <col min="13588" max="13588" width="17" style="1" bestFit="1" customWidth="1"/>
    <col min="13589" max="13592" width="0" style="1" hidden="1" customWidth="1"/>
    <col min="13593" max="13593" width="17" style="1" bestFit="1" customWidth="1"/>
    <col min="13594" max="13594" width="17.6640625" style="1" bestFit="1" customWidth="1"/>
    <col min="13595" max="13824" width="8.6640625" style="1"/>
    <col min="13825" max="13825" width="2.44140625" style="1" customWidth="1"/>
    <col min="13826" max="13826" width="11.33203125" style="1" customWidth="1"/>
    <col min="13827" max="13827" width="61.44140625" style="1" customWidth="1"/>
    <col min="13828" max="13828" width="15.44140625" style="1" bestFit="1" customWidth="1"/>
    <col min="13829" max="13829" width="17" style="1" customWidth="1"/>
    <col min="13830" max="13830" width="17" style="1" bestFit="1" customWidth="1"/>
    <col min="13831" max="13831" width="17.6640625" style="1" bestFit="1" customWidth="1"/>
    <col min="13832" max="13832" width="17.44140625" style="1" bestFit="1" customWidth="1"/>
    <col min="13833" max="13833" width="15" style="1" bestFit="1" customWidth="1"/>
    <col min="13834" max="13834" width="6.44140625" style="1" customWidth="1"/>
    <col min="13835" max="13839" width="14.44140625" style="1" bestFit="1" customWidth="1"/>
    <col min="13840" max="13843" width="0" style="1" hidden="1" customWidth="1"/>
    <col min="13844" max="13844" width="17" style="1" bestFit="1" customWidth="1"/>
    <col min="13845" max="13848" width="0" style="1" hidden="1" customWidth="1"/>
    <col min="13849" max="13849" width="17" style="1" bestFit="1" customWidth="1"/>
    <col min="13850" max="13850" width="17.6640625" style="1" bestFit="1" customWidth="1"/>
    <col min="13851" max="14080" width="8.6640625" style="1"/>
    <col min="14081" max="14081" width="2.44140625" style="1" customWidth="1"/>
    <col min="14082" max="14082" width="11.33203125" style="1" customWidth="1"/>
    <col min="14083" max="14083" width="61.44140625" style="1" customWidth="1"/>
    <col min="14084" max="14084" width="15.44140625" style="1" bestFit="1" customWidth="1"/>
    <col min="14085" max="14085" width="17" style="1" customWidth="1"/>
    <col min="14086" max="14086" width="17" style="1" bestFit="1" customWidth="1"/>
    <col min="14087" max="14087" width="17.6640625" style="1" bestFit="1" customWidth="1"/>
    <col min="14088" max="14088" width="17.44140625" style="1" bestFit="1" customWidth="1"/>
    <col min="14089" max="14089" width="15" style="1" bestFit="1" customWidth="1"/>
    <col min="14090" max="14090" width="6.44140625" style="1" customWidth="1"/>
    <col min="14091" max="14095" width="14.44140625" style="1" bestFit="1" customWidth="1"/>
    <col min="14096" max="14099" width="0" style="1" hidden="1" customWidth="1"/>
    <col min="14100" max="14100" width="17" style="1" bestFit="1" customWidth="1"/>
    <col min="14101" max="14104" width="0" style="1" hidden="1" customWidth="1"/>
    <col min="14105" max="14105" width="17" style="1" bestFit="1" customWidth="1"/>
    <col min="14106" max="14106" width="17.6640625" style="1" bestFit="1" customWidth="1"/>
    <col min="14107" max="14336" width="8.6640625" style="1"/>
    <col min="14337" max="14337" width="2.44140625" style="1" customWidth="1"/>
    <col min="14338" max="14338" width="11.33203125" style="1" customWidth="1"/>
    <col min="14339" max="14339" width="61.44140625" style="1" customWidth="1"/>
    <col min="14340" max="14340" width="15.44140625" style="1" bestFit="1" customWidth="1"/>
    <col min="14341" max="14341" width="17" style="1" customWidth="1"/>
    <col min="14342" max="14342" width="17" style="1" bestFit="1" customWidth="1"/>
    <col min="14343" max="14343" width="17.6640625" style="1" bestFit="1" customWidth="1"/>
    <col min="14344" max="14344" width="17.44140625" style="1" bestFit="1" customWidth="1"/>
    <col min="14345" max="14345" width="15" style="1" bestFit="1" customWidth="1"/>
    <col min="14346" max="14346" width="6.44140625" style="1" customWidth="1"/>
    <col min="14347" max="14351" width="14.44140625" style="1" bestFit="1" customWidth="1"/>
    <col min="14352" max="14355" width="0" style="1" hidden="1" customWidth="1"/>
    <col min="14356" max="14356" width="17" style="1" bestFit="1" customWidth="1"/>
    <col min="14357" max="14360" width="0" style="1" hidden="1" customWidth="1"/>
    <col min="14361" max="14361" width="17" style="1" bestFit="1" customWidth="1"/>
    <col min="14362" max="14362" width="17.6640625" style="1" bestFit="1" customWidth="1"/>
    <col min="14363" max="14592" width="8.6640625" style="1"/>
    <col min="14593" max="14593" width="2.44140625" style="1" customWidth="1"/>
    <col min="14594" max="14594" width="11.33203125" style="1" customWidth="1"/>
    <col min="14595" max="14595" width="61.44140625" style="1" customWidth="1"/>
    <col min="14596" max="14596" width="15.44140625" style="1" bestFit="1" customWidth="1"/>
    <col min="14597" max="14597" width="17" style="1" customWidth="1"/>
    <col min="14598" max="14598" width="17" style="1" bestFit="1" customWidth="1"/>
    <col min="14599" max="14599" width="17.6640625" style="1" bestFit="1" customWidth="1"/>
    <col min="14600" max="14600" width="17.44140625" style="1" bestFit="1" customWidth="1"/>
    <col min="14601" max="14601" width="15" style="1" bestFit="1" customWidth="1"/>
    <col min="14602" max="14602" width="6.44140625" style="1" customWidth="1"/>
    <col min="14603" max="14607" width="14.44140625" style="1" bestFit="1" customWidth="1"/>
    <col min="14608" max="14611" width="0" style="1" hidden="1" customWidth="1"/>
    <col min="14612" max="14612" width="17" style="1" bestFit="1" customWidth="1"/>
    <col min="14613" max="14616" width="0" style="1" hidden="1" customWidth="1"/>
    <col min="14617" max="14617" width="17" style="1" bestFit="1" customWidth="1"/>
    <col min="14618" max="14618" width="17.6640625" style="1" bestFit="1" customWidth="1"/>
    <col min="14619" max="14848" width="8.6640625" style="1"/>
    <col min="14849" max="14849" width="2.44140625" style="1" customWidth="1"/>
    <col min="14850" max="14850" width="11.33203125" style="1" customWidth="1"/>
    <col min="14851" max="14851" width="61.44140625" style="1" customWidth="1"/>
    <col min="14852" max="14852" width="15.44140625" style="1" bestFit="1" customWidth="1"/>
    <col min="14853" max="14853" width="17" style="1" customWidth="1"/>
    <col min="14854" max="14854" width="17" style="1" bestFit="1" customWidth="1"/>
    <col min="14855" max="14855" width="17.6640625" style="1" bestFit="1" customWidth="1"/>
    <col min="14856" max="14856" width="17.44140625" style="1" bestFit="1" customWidth="1"/>
    <col min="14857" max="14857" width="15" style="1" bestFit="1" customWidth="1"/>
    <col min="14858" max="14858" width="6.44140625" style="1" customWidth="1"/>
    <col min="14859" max="14863" width="14.44140625" style="1" bestFit="1" customWidth="1"/>
    <col min="14864" max="14867" width="0" style="1" hidden="1" customWidth="1"/>
    <col min="14868" max="14868" width="17" style="1" bestFit="1" customWidth="1"/>
    <col min="14869" max="14872" width="0" style="1" hidden="1" customWidth="1"/>
    <col min="14873" max="14873" width="17" style="1" bestFit="1" customWidth="1"/>
    <col min="14874" max="14874" width="17.6640625" style="1" bestFit="1" customWidth="1"/>
    <col min="14875" max="15104" width="8.6640625" style="1"/>
    <col min="15105" max="15105" width="2.44140625" style="1" customWidth="1"/>
    <col min="15106" max="15106" width="11.33203125" style="1" customWidth="1"/>
    <col min="15107" max="15107" width="61.44140625" style="1" customWidth="1"/>
    <col min="15108" max="15108" width="15.44140625" style="1" bestFit="1" customWidth="1"/>
    <col min="15109" max="15109" width="17" style="1" customWidth="1"/>
    <col min="15110" max="15110" width="17" style="1" bestFit="1" customWidth="1"/>
    <col min="15111" max="15111" width="17.6640625" style="1" bestFit="1" customWidth="1"/>
    <col min="15112" max="15112" width="17.44140625" style="1" bestFit="1" customWidth="1"/>
    <col min="15113" max="15113" width="15" style="1" bestFit="1" customWidth="1"/>
    <col min="15114" max="15114" width="6.44140625" style="1" customWidth="1"/>
    <col min="15115" max="15119" width="14.44140625" style="1" bestFit="1" customWidth="1"/>
    <col min="15120" max="15123" width="0" style="1" hidden="1" customWidth="1"/>
    <col min="15124" max="15124" width="17" style="1" bestFit="1" customWidth="1"/>
    <col min="15125" max="15128" width="0" style="1" hidden="1" customWidth="1"/>
    <col min="15129" max="15129" width="17" style="1" bestFit="1" customWidth="1"/>
    <col min="15130" max="15130" width="17.6640625" style="1" bestFit="1" customWidth="1"/>
    <col min="15131" max="15360" width="8.6640625" style="1"/>
    <col min="15361" max="15361" width="2.44140625" style="1" customWidth="1"/>
    <col min="15362" max="15362" width="11.33203125" style="1" customWidth="1"/>
    <col min="15363" max="15363" width="61.44140625" style="1" customWidth="1"/>
    <col min="15364" max="15364" width="15.44140625" style="1" bestFit="1" customWidth="1"/>
    <col min="15365" max="15365" width="17" style="1" customWidth="1"/>
    <col min="15366" max="15366" width="17" style="1" bestFit="1" customWidth="1"/>
    <col min="15367" max="15367" width="17.6640625" style="1" bestFit="1" customWidth="1"/>
    <col min="15368" max="15368" width="17.44140625" style="1" bestFit="1" customWidth="1"/>
    <col min="15369" max="15369" width="15" style="1" bestFit="1" customWidth="1"/>
    <col min="15370" max="15370" width="6.44140625" style="1" customWidth="1"/>
    <col min="15371" max="15375" width="14.44140625" style="1" bestFit="1" customWidth="1"/>
    <col min="15376" max="15379" width="0" style="1" hidden="1" customWidth="1"/>
    <col min="15380" max="15380" width="17" style="1" bestFit="1" customWidth="1"/>
    <col min="15381" max="15384" width="0" style="1" hidden="1" customWidth="1"/>
    <col min="15385" max="15385" width="17" style="1" bestFit="1" customWidth="1"/>
    <col min="15386" max="15386" width="17.6640625" style="1" bestFit="1" customWidth="1"/>
    <col min="15387" max="15616" width="8.6640625" style="1"/>
    <col min="15617" max="15617" width="2.44140625" style="1" customWidth="1"/>
    <col min="15618" max="15618" width="11.33203125" style="1" customWidth="1"/>
    <col min="15619" max="15619" width="61.44140625" style="1" customWidth="1"/>
    <col min="15620" max="15620" width="15.44140625" style="1" bestFit="1" customWidth="1"/>
    <col min="15621" max="15621" width="17" style="1" customWidth="1"/>
    <col min="15622" max="15622" width="17" style="1" bestFit="1" customWidth="1"/>
    <col min="15623" max="15623" width="17.6640625" style="1" bestFit="1" customWidth="1"/>
    <col min="15624" max="15624" width="17.44140625" style="1" bestFit="1" customWidth="1"/>
    <col min="15625" max="15625" width="15" style="1" bestFit="1" customWidth="1"/>
    <col min="15626" max="15626" width="6.44140625" style="1" customWidth="1"/>
    <col min="15627" max="15631" width="14.44140625" style="1" bestFit="1" customWidth="1"/>
    <col min="15632" max="15635" width="0" style="1" hidden="1" customWidth="1"/>
    <col min="15636" max="15636" width="17" style="1" bestFit="1" customWidth="1"/>
    <col min="15637" max="15640" width="0" style="1" hidden="1" customWidth="1"/>
    <col min="15641" max="15641" width="17" style="1" bestFit="1" customWidth="1"/>
    <col min="15642" max="15642" width="17.6640625" style="1" bestFit="1" customWidth="1"/>
    <col min="15643" max="15872" width="8.6640625" style="1"/>
    <col min="15873" max="15873" width="2.44140625" style="1" customWidth="1"/>
    <col min="15874" max="15874" width="11.33203125" style="1" customWidth="1"/>
    <col min="15875" max="15875" width="61.44140625" style="1" customWidth="1"/>
    <col min="15876" max="15876" width="15.44140625" style="1" bestFit="1" customWidth="1"/>
    <col min="15877" max="15877" width="17" style="1" customWidth="1"/>
    <col min="15878" max="15878" width="17" style="1" bestFit="1" customWidth="1"/>
    <col min="15879" max="15879" width="17.6640625" style="1" bestFit="1" customWidth="1"/>
    <col min="15880" max="15880" width="17.44140625" style="1" bestFit="1" customWidth="1"/>
    <col min="15881" max="15881" width="15" style="1" bestFit="1" customWidth="1"/>
    <col min="15882" max="15882" width="6.44140625" style="1" customWidth="1"/>
    <col min="15883" max="15887" width="14.44140625" style="1" bestFit="1" customWidth="1"/>
    <col min="15888" max="15891" width="0" style="1" hidden="1" customWidth="1"/>
    <col min="15892" max="15892" width="17" style="1" bestFit="1" customWidth="1"/>
    <col min="15893" max="15896" width="0" style="1" hidden="1" customWidth="1"/>
    <col min="15897" max="15897" width="17" style="1" bestFit="1" customWidth="1"/>
    <col min="15898" max="15898" width="17.6640625" style="1" bestFit="1" customWidth="1"/>
    <col min="15899" max="16128" width="8.6640625" style="1"/>
    <col min="16129" max="16129" width="2.44140625" style="1" customWidth="1"/>
    <col min="16130" max="16130" width="11.33203125" style="1" customWidth="1"/>
    <col min="16131" max="16131" width="61.44140625" style="1" customWidth="1"/>
    <col min="16132" max="16132" width="15.44140625" style="1" bestFit="1" customWidth="1"/>
    <col min="16133" max="16133" width="17" style="1" customWidth="1"/>
    <col min="16134" max="16134" width="17" style="1" bestFit="1" customWidth="1"/>
    <col min="16135" max="16135" width="17.6640625" style="1" bestFit="1" customWidth="1"/>
    <col min="16136" max="16136" width="17.44140625" style="1" bestFit="1" customWidth="1"/>
    <col min="16137" max="16137" width="15" style="1" bestFit="1" customWidth="1"/>
    <col min="16138" max="16138" width="6.44140625" style="1" customWidth="1"/>
    <col min="16139" max="16143" width="14.44140625" style="1" bestFit="1" customWidth="1"/>
    <col min="16144" max="16147" width="0" style="1" hidden="1" customWidth="1"/>
    <col min="16148" max="16148" width="17" style="1" bestFit="1" customWidth="1"/>
    <col min="16149" max="16152" width="0" style="1" hidden="1" customWidth="1"/>
    <col min="16153" max="16153" width="17" style="1" bestFit="1" customWidth="1"/>
    <col min="16154" max="16154" width="17.6640625" style="1" bestFit="1" customWidth="1"/>
    <col min="16155" max="16384" width="8.6640625" style="1"/>
  </cols>
  <sheetData>
    <row r="4" spans="2:26" ht="61.5" customHeight="1" x14ac:dyDescent="0.3">
      <c r="B4" s="48">
        <v>5.2</v>
      </c>
      <c r="C4" s="65" t="s">
        <v>117</v>
      </c>
      <c r="D4" s="62" t="s">
        <v>26</v>
      </c>
      <c r="E4" s="62" t="s">
        <v>27</v>
      </c>
      <c r="F4" s="62" t="s">
        <v>28</v>
      </c>
      <c r="G4" s="62" t="s">
        <v>9</v>
      </c>
      <c r="P4" s="33"/>
    </row>
    <row r="5" spans="2:26" ht="41.25" customHeight="1" x14ac:dyDescent="0.3">
      <c r="B5" s="48" t="s">
        <v>525</v>
      </c>
      <c r="C5" s="465" t="s">
        <v>526</v>
      </c>
      <c r="D5" s="67">
        <f>O20</f>
        <v>1708020</v>
      </c>
      <c r="E5" s="67">
        <f>T20</f>
        <v>1878822.0000000002</v>
      </c>
      <c r="F5" s="67">
        <f>Y20</f>
        <v>2066704.2000000004</v>
      </c>
      <c r="G5" s="67">
        <f>D5+E5+F5</f>
        <v>5653546.2000000002</v>
      </c>
    </row>
    <row r="6" spans="2:26" ht="40.799999999999997" customHeight="1" x14ac:dyDescent="0.3">
      <c r="B6" s="48" t="s">
        <v>592</v>
      </c>
      <c r="C6" s="465" t="s">
        <v>593</v>
      </c>
      <c r="D6" s="67">
        <f>O21</f>
        <v>148055.55555555556</v>
      </c>
      <c r="E6" s="67">
        <f>T21</f>
        <v>162861.11111111112</v>
      </c>
      <c r="F6" s="67">
        <f>Y21</f>
        <v>179147.22222222225</v>
      </c>
      <c r="G6" s="67">
        <f>D6+E6+F6</f>
        <v>490063.88888888893</v>
      </c>
    </row>
    <row r="7" spans="2:26" x14ac:dyDescent="0.3">
      <c r="B7" s="51"/>
      <c r="C7" s="68" t="s">
        <v>10</v>
      </c>
      <c r="D7" s="69">
        <f>SUM(D5:D6)</f>
        <v>1856075.5555555555</v>
      </c>
      <c r="E7" s="69">
        <f t="shared" ref="E7:G7" si="0">SUM(E5:E6)</f>
        <v>2041683.1111111115</v>
      </c>
      <c r="F7" s="69">
        <f t="shared" si="0"/>
        <v>2245851.4222222227</v>
      </c>
      <c r="G7" s="69">
        <f t="shared" si="0"/>
        <v>6143610.0888888892</v>
      </c>
    </row>
    <row r="8" spans="2:26" s="592" customFormat="1" x14ac:dyDescent="0.3">
      <c r="B8" s="589"/>
      <c r="C8" s="590"/>
      <c r="D8" s="591"/>
      <c r="E8" s="591"/>
      <c r="F8" s="591"/>
      <c r="G8" s="591"/>
      <c r="I8" s="593"/>
    </row>
    <row r="9" spans="2:26" x14ac:dyDescent="0.3">
      <c r="B9" s="806" t="s">
        <v>34</v>
      </c>
      <c r="C9" s="807"/>
      <c r="D9" s="807"/>
      <c r="E9" s="807"/>
      <c r="F9" s="807"/>
      <c r="G9" s="807"/>
      <c r="H9" s="807"/>
      <c r="I9" s="807"/>
    </row>
    <row r="10" spans="2:26" x14ac:dyDescent="0.3">
      <c r="B10" s="3"/>
      <c r="C10" s="3"/>
      <c r="D10" s="3"/>
      <c r="E10" s="3"/>
      <c r="F10" s="3"/>
      <c r="G10" s="3"/>
      <c r="H10" s="3"/>
      <c r="I10" s="464"/>
      <c r="J10" s="4"/>
      <c r="K10" s="841" t="s">
        <v>26</v>
      </c>
      <c r="L10" s="841"/>
      <c r="M10" s="841"/>
      <c r="N10" s="841"/>
      <c r="O10" s="520" t="s">
        <v>26</v>
      </c>
      <c r="P10" s="843" t="s">
        <v>27</v>
      </c>
      <c r="Q10" s="844"/>
      <c r="R10" s="844"/>
      <c r="S10" s="845"/>
      <c r="T10" s="521" t="s">
        <v>27</v>
      </c>
      <c r="U10" s="843" t="s">
        <v>28</v>
      </c>
      <c r="V10" s="844"/>
      <c r="W10" s="844"/>
      <c r="X10" s="845"/>
      <c r="Y10" s="517" t="s">
        <v>28</v>
      </c>
      <c r="Z10" s="6"/>
    </row>
    <row r="11" spans="2:26" x14ac:dyDescent="0.3">
      <c r="B11" s="3"/>
      <c r="C11" s="3" t="s">
        <v>35</v>
      </c>
      <c r="D11" s="3"/>
      <c r="E11" s="3"/>
      <c r="F11" s="3"/>
      <c r="G11" s="3"/>
      <c r="H11" s="3"/>
      <c r="I11" s="464"/>
      <c r="J11" s="4"/>
      <c r="K11" s="7" t="s">
        <v>36</v>
      </c>
      <c r="L11" s="7" t="s">
        <v>37</v>
      </c>
      <c r="M11" s="7" t="s">
        <v>38</v>
      </c>
      <c r="N11" s="7" t="s">
        <v>39</v>
      </c>
      <c r="O11" s="517" t="s">
        <v>9</v>
      </c>
      <c r="P11" s="8" t="s">
        <v>36</v>
      </c>
      <c r="Q11" s="8" t="s">
        <v>37</v>
      </c>
      <c r="R11" s="8" t="s">
        <v>38</v>
      </c>
      <c r="S11" s="8" t="s">
        <v>39</v>
      </c>
      <c r="T11" s="517" t="s">
        <v>9</v>
      </c>
      <c r="U11" s="8" t="s">
        <v>36</v>
      </c>
      <c r="V11" s="8" t="s">
        <v>37</v>
      </c>
      <c r="W11" s="8" t="s">
        <v>38</v>
      </c>
      <c r="X11" s="8" t="s">
        <v>39</v>
      </c>
      <c r="Y11" s="517" t="s">
        <v>9</v>
      </c>
      <c r="Z11" s="6" t="s">
        <v>19</v>
      </c>
    </row>
    <row r="12" spans="2:26" x14ac:dyDescent="0.3">
      <c r="B12" s="9" t="s">
        <v>525</v>
      </c>
      <c r="C12" s="846" t="str">
        <f>C5</f>
        <v>Field Monitors</v>
      </c>
      <c r="D12" s="847"/>
      <c r="E12" s="847"/>
      <c r="F12" s="847"/>
      <c r="G12" s="847"/>
      <c r="H12" s="847"/>
      <c r="I12" s="848"/>
      <c r="J12" s="4"/>
      <c r="K12" s="7"/>
      <c r="L12" s="7"/>
      <c r="M12" s="7"/>
      <c r="N12" s="7"/>
      <c r="O12" s="517"/>
      <c r="P12" s="8"/>
      <c r="Q12" s="8"/>
      <c r="R12" s="8"/>
      <c r="S12" s="8"/>
      <c r="T12" s="517"/>
      <c r="U12" s="8"/>
      <c r="V12" s="8"/>
      <c r="W12" s="8"/>
      <c r="X12" s="8"/>
      <c r="Y12" s="517"/>
      <c r="Z12" s="6"/>
    </row>
    <row r="13" spans="2:26" x14ac:dyDescent="0.3">
      <c r="B13" s="3"/>
      <c r="C13" s="849" t="s">
        <v>526</v>
      </c>
      <c r="D13" s="849"/>
      <c r="E13" s="849"/>
      <c r="F13" s="849"/>
      <c r="G13" s="849"/>
      <c r="H13" s="849"/>
      <c r="I13" s="849"/>
      <c r="J13" s="4"/>
      <c r="K13" s="7">
        <v>972</v>
      </c>
      <c r="L13" s="7">
        <v>972</v>
      </c>
      <c r="M13" s="7">
        <v>972</v>
      </c>
      <c r="N13" s="7">
        <v>972</v>
      </c>
      <c r="O13" s="8">
        <v>972</v>
      </c>
      <c r="P13" s="138">
        <v>972</v>
      </c>
      <c r="Q13" s="138">
        <v>972</v>
      </c>
      <c r="R13" s="138">
        <v>972</v>
      </c>
      <c r="S13" s="138">
        <v>972</v>
      </c>
      <c r="T13" s="8">
        <v>972</v>
      </c>
      <c r="U13" s="138">
        <v>972</v>
      </c>
      <c r="V13" s="138">
        <v>972</v>
      </c>
      <c r="W13" s="138">
        <v>972</v>
      </c>
      <c r="X13" s="138">
        <v>972</v>
      </c>
      <c r="Y13" s="8">
        <v>972</v>
      </c>
      <c r="Z13" s="6">
        <f>+Y13+T13+O13</f>
        <v>2916</v>
      </c>
    </row>
    <row r="14" spans="2:26" x14ac:dyDescent="0.3">
      <c r="B14" s="3"/>
      <c r="C14" s="465" t="s">
        <v>593</v>
      </c>
      <c r="D14" s="10"/>
      <c r="E14" s="10"/>
      <c r="F14" s="10"/>
      <c r="G14" s="10"/>
      <c r="H14" s="10"/>
      <c r="I14" s="10"/>
      <c r="J14" s="4"/>
      <c r="K14" s="7">
        <v>650</v>
      </c>
      <c r="L14" s="7">
        <v>650</v>
      </c>
      <c r="M14" s="7">
        <v>650</v>
      </c>
      <c r="N14" s="7">
        <v>650</v>
      </c>
      <c r="O14" s="8">
        <f>SUM(K14:N14)</f>
        <v>2600</v>
      </c>
      <c r="P14" s="138">
        <v>650</v>
      </c>
      <c r="Q14" s="138">
        <v>650</v>
      </c>
      <c r="R14" s="138">
        <v>650</v>
      </c>
      <c r="S14" s="138">
        <v>650</v>
      </c>
      <c r="T14" s="8">
        <f>SUM(P14:S14)</f>
        <v>2600</v>
      </c>
      <c r="U14" s="138">
        <v>650</v>
      </c>
      <c r="V14" s="138">
        <v>650</v>
      </c>
      <c r="W14" s="138">
        <v>650</v>
      </c>
      <c r="X14" s="138">
        <v>650</v>
      </c>
      <c r="Y14" s="8">
        <f>SUM(U14:X14)</f>
        <v>2600</v>
      </c>
      <c r="Z14" s="6">
        <f>+Y14+T14+O14</f>
        <v>7800</v>
      </c>
    </row>
    <row r="15" spans="2:26" x14ac:dyDescent="0.3"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x14ac:dyDescent="0.3"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8" x14ac:dyDescent="0.3">
      <c r="B17" s="838" t="str">
        <f>+C5</f>
        <v>Field Monitors</v>
      </c>
      <c r="C17" s="839"/>
      <c r="D17" s="839"/>
      <c r="E17" s="839"/>
      <c r="F17" s="839"/>
      <c r="G17" s="839"/>
      <c r="H17" s="839"/>
      <c r="I17" s="840"/>
      <c r="J17" s="458"/>
      <c r="K17" s="820" t="s">
        <v>26</v>
      </c>
      <c r="L17" s="820"/>
      <c r="M17" s="820"/>
      <c r="N17" s="820"/>
      <c r="O17" s="518" t="s">
        <v>26</v>
      </c>
      <c r="P17" s="821" t="s">
        <v>27</v>
      </c>
      <c r="Q17" s="821"/>
      <c r="R17" s="821"/>
      <c r="S17" s="821"/>
      <c r="T17" s="11" t="s">
        <v>27</v>
      </c>
      <c r="U17" s="821" t="s">
        <v>28</v>
      </c>
      <c r="V17" s="821"/>
      <c r="W17" s="821"/>
      <c r="X17" s="821"/>
      <c r="Y17" s="12" t="s">
        <v>28</v>
      </c>
      <c r="Z17" s="13" t="s">
        <v>19</v>
      </c>
    </row>
    <row r="18" spans="2:28" ht="43.2" x14ac:dyDescent="0.3">
      <c r="B18" s="464"/>
      <c r="C18" s="464" t="s">
        <v>49</v>
      </c>
      <c r="D18" s="547" t="s">
        <v>588</v>
      </c>
      <c r="E18" s="464" t="s">
        <v>51</v>
      </c>
      <c r="F18" s="464" t="s">
        <v>52</v>
      </c>
      <c r="G18" s="3" t="s">
        <v>53</v>
      </c>
      <c r="H18" s="464" t="s">
        <v>54</v>
      </c>
      <c r="I18" s="464" t="s">
        <v>55</v>
      </c>
      <c r="J18" s="458"/>
      <c r="K18" s="464" t="s">
        <v>36</v>
      </c>
      <c r="L18" s="464" t="s">
        <v>37</v>
      </c>
      <c r="M18" s="464" t="s">
        <v>38</v>
      </c>
      <c r="N18" s="464" t="s">
        <v>39</v>
      </c>
      <c r="O18" s="12" t="s">
        <v>9</v>
      </c>
      <c r="P18" s="12" t="s">
        <v>36</v>
      </c>
      <c r="Q18" s="12" t="s">
        <v>37</v>
      </c>
      <c r="R18" s="12" t="s">
        <v>38</v>
      </c>
      <c r="S18" s="12" t="s">
        <v>39</v>
      </c>
      <c r="T18" s="12" t="s">
        <v>9</v>
      </c>
      <c r="U18" s="12" t="s">
        <v>36</v>
      </c>
      <c r="V18" s="12" t="s">
        <v>37</v>
      </c>
      <c r="W18" s="12" t="s">
        <v>38</v>
      </c>
      <c r="X18" s="12" t="s">
        <v>39</v>
      </c>
      <c r="Y18" s="12" t="s">
        <v>9</v>
      </c>
      <c r="Z18" s="13"/>
    </row>
    <row r="19" spans="2:28" x14ac:dyDescent="0.3">
      <c r="B19" s="464" t="str">
        <f>B12</f>
        <v>5.2a</v>
      </c>
      <c r="C19" s="483" t="str">
        <f>C12</f>
        <v>Field Monitors</v>
      </c>
      <c r="D19" s="464"/>
      <c r="E19" s="464"/>
      <c r="F19" s="464"/>
      <c r="G19" s="464"/>
      <c r="H19" s="464"/>
      <c r="I19" s="464"/>
      <c r="J19" s="458"/>
      <c r="K19" s="464"/>
      <c r="L19" s="464"/>
      <c r="M19" s="464"/>
      <c r="N19" s="46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2:28" x14ac:dyDescent="0.3">
      <c r="B20" s="464"/>
      <c r="C20" s="548" t="s">
        <v>527</v>
      </c>
      <c r="D20" s="464">
        <v>15815</v>
      </c>
      <c r="E20" s="519" t="s">
        <v>518</v>
      </c>
      <c r="F20" s="519" t="s">
        <v>518</v>
      </c>
      <c r="G20" s="497">
        <v>1</v>
      </c>
      <c r="H20" s="464">
        <f>D20*G20</f>
        <v>15815</v>
      </c>
      <c r="I20" s="464">
        <f>H20/54</f>
        <v>292.87037037037038</v>
      </c>
      <c r="J20" s="458"/>
      <c r="K20" s="464">
        <f>(I20*K13*3)*50%</f>
        <v>427005</v>
      </c>
      <c r="L20" s="464">
        <f t="shared" ref="L20:N21" si="1">K20</f>
        <v>427005</v>
      </c>
      <c r="M20" s="464">
        <f t="shared" si="1"/>
        <v>427005</v>
      </c>
      <c r="N20" s="464">
        <f t="shared" si="1"/>
        <v>427005</v>
      </c>
      <c r="O20" s="12">
        <f>K20+L20+M20+N20</f>
        <v>1708020</v>
      </c>
      <c r="P20" s="12">
        <f>K20*1.1</f>
        <v>469705.50000000006</v>
      </c>
      <c r="Q20" s="12">
        <f>L20*1.1</f>
        <v>469705.50000000006</v>
      </c>
      <c r="R20" s="12">
        <f>M20*1.1</f>
        <v>469705.50000000006</v>
      </c>
      <c r="S20" s="12">
        <f>N20*1.1</f>
        <v>469705.50000000006</v>
      </c>
      <c r="T20" s="12">
        <f>P20+Q20+R20+S20</f>
        <v>1878822.0000000002</v>
      </c>
      <c r="U20" s="12">
        <f>P20*1.1</f>
        <v>516676.0500000001</v>
      </c>
      <c r="V20" s="12">
        <f>Q20*1.1</f>
        <v>516676.0500000001</v>
      </c>
      <c r="W20" s="12">
        <f>R20*1.1</f>
        <v>516676.0500000001</v>
      </c>
      <c r="X20" s="12">
        <f>S20*1.1</f>
        <v>516676.0500000001</v>
      </c>
      <c r="Y20" s="12">
        <f>U20+V20+W20+X20</f>
        <v>2066704.2000000004</v>
      </c>
      <c r="Z20" s="13">
        <f>O20+T20+Y20</f>
        <v>5653546.2000000002</v>
      </c>
    </row>
    <row r="21" spans="2:28" x14ac:dyDescent="0.3">
      <c r="B21" s="464"/>
      <c r="C21" s="465" t="s">
        <v>594</v>
      </c>
      <c r="D21" s="464">
        <v>1025</v>
      </c>
      <c r="E21" s="664"/>
      <c r="F21" s="664"/>
      <c r="G21" s="497">
        <v>1</v>
      </c>
      <c r="H21" s="464">
        <f>D21*G21</f>
        <v>1025</v>
      </c>
      <c r="I21" s="464">
        <f>H21/54</f>
        <v>18.981481481481481</v>
      </c>
      <c r="J21" s="458"/>
      <c r="K21" s="89">
        <f>+K14*$I$21*3</f>
        <v>37013.888888888891</v>
      </c>
      <c r="L21" s="464">
        <f t="shared" si="1"/>
        <v>37013.888888888891</v>
      </c>
      <c r="M21" s="464">
        <f t="shared" si="1"/>
        <v>37013.888888888891</v>
      </c>
      <c r="N21" s="464">
        <f t="shared" si="1"/>
        <v>37013.888888888891</v>
      </c>
      <c r="O21" s="12">
        <f>K21+L21+M21+N21</f>
        <v>148055.55555555556</v>
      </c>
      <c r="P21" s="12">
        <f>K21*1.1</f>
        <v>40715.277777777781</v>
      </c>
      <c r="Q21" s="12">
        <f t="shared" ref="Q21:X21" si="2">L21*1.1</f>
        <v>40715.277777777781</v>
      </c>
      <c r="R21" s="12">
        <f t="shared" si="2"/>
        <v>40715.277777777781</v>
      </c>
      <c r="S21" s="12">
        <f t="shared" si="2"/>
        <v>40715.277777777781</v>
      </c>
      <c r="T21" s="12">
        <f t="shared" si="2"/>
        <v>162861.11111111112</v>
      </c>
      <c r="U21" s="12">
        <f t="shared" si="2"/>
        <v>44786.805555555562</v>
      </c>
      <c r="V21" s="12">
        <f t="shared" si="2"/>
        <v>44786.805555555562</v>
      </c>
      <c r="W21" s="12">
        <f t="shared" si="2"/>
        <v>44786.805555555562</v>
      </c>
      <c r="X21" s="12">
        <f t="shared" si="2"/>
        <v>44786.805555555562</v>
      </c>
      <c r="Y21" s="12">
        <f>U21+V21+W21+X21</f>
        <v>179147.22222222225</v>
      </c>
      <c r="Z21" s="13">
        <f>O21+T21+Y21</f>
        <v>490063.88888888893</v>
      </c>
      <c r="AB21" s="646"/>
    </row>
    <row r="22" spans="2:28" x14ac:dyDescent="0.3">
      <c r="B22" s="467"/>
      <c r="C22" s="467" t="s">
        <v>56</v>
      </c>
      <c r="D22" s="467"/>
      <c r="E22" s="467"/>
      <c r="F22" s="467"/>
      <c r="G22" s="467"/>
      <c r="H22" s="467"/>
      <c r="I22" s="467"/>
      <c r="J22" s="473"/>
      <c r="K22" s="467">
        <f>SUM(K20:K21)</f>
        <v>464018.88888888888</v>
      </c>
      <c r="L22" s="467">
        <f t="shared" ref="L22:N22" si="3">SUM(L20:L21)</f>
        <v>464018.88888888888</v>
      </c>
      <c r="M22" s="467">
        <f t="shared" si="3"/>
        <v>464018.88888888888</v>
      </c>
      <c r="N22" s="467">
        <f t="shared" si="3"/>
        <v>464018.88888888888</v>
      </c>
      <c r="O22" s="15">
        <f>SUM(O20:O21)</f>
        <v>1856075.5555555555</v>
      </c>
      <c r="P22" s="15">
        <f t="shared" ref="P22:Z22" si="4">SUM(P20:P21)</f>
        <v>510420.77777777787</v>
      </c>
      <c r="Q22" s="15">
        <f t="shared" si="4"/>
        <v>510420.77777777787</v>
      </c>
      <c r="R22" s="15">
        <f t="shared" si="4"/>
        <v>510420.77777777787</v>
      </c>
      <c r="S22" s="15">
        <f t="shared" si="4"/>
        <v>510420.77777777787</v>
      </c>
      <c r="T22" s="15">
        <f t="shared" si="4"/>
        <v>2041683.1111111115</v>
      </c>
      <c r="U22" s="15">
        <f t="shared" si="4"/>
        <v>561462.85555555567</v>
      </c>
      <c r="V22" s="15">
        <f t="shared" si="4"/>
        <v>561462.85555555567</v>
      </c>
      <c r="W22" s="15">
        <f t="shared" si="4"/>
        <v>561462.85555555567</v>
      </c>
      <c r="X22" s="15">
        <f t="shared" si="4"/>
        <v>561462.85555555567</v>
      </c>
      <c r="Y22" s="15">
        <f t="shared" si="4"/>
        <v>2245851.4222222227</v>
      </c>
      <c r="Z22" s="15">
        <f t="shared" si="4"/>
        <v>6143610.0888888892</v>
      </c>
    </row>
    <row r="24" spans="2:28" ht="18" x14ac:dyDescent="0.35">
      <c r="C24" s="545" t="s">
        <v>528</v>
      </c>
      <c r="Z24" s="667"/>
    </row>
    <row r="25" spans="2:28" ht="18" x14ac:dyDescent="0.35">
      <c r="C25" s="545" t="s">
        <v>591</v>
      </c>
      <c r="K25" s="134"/>
      <c r="Z25" s="134"/>
    </row>
    <row r="26" spans="2:28" ht="18" x14ac:dyDescent="0.35">
      <c r="C26" s="545" t="s">
        <v>590</v>
      </c>
    </row>
  </sheetData>
  <mergeCells count="10">
    <mergeCell ref="B17:I17"/>
    <mergeCell ref="K17:N17"/>
    <mergeCell ref="P17:S17"/>
    <mergeCell ref="U17:X17"/>
    <mergeCell ref="B9:I9"/>
    <mergeCell ref="K10:N10"/>
    <mergeCell ref="P10:S10"/>
    <mergeCell ref="U10:X10"/>
    <mergeCell ref="C12:I12"/>
    <mergeCell ref="C13:I13"/>
  </mergeCells>
  <pageMargins left="0.7" right="0.7" top="0.75" bottom="0.75" header="0.3" footer="0.3"/>
  <pageSetup paperSize="8" scale="6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4:Z56"/>
  <sheetViews>
    <sheetView zoomScale="70" zoomScaleNormal="70" zoomScalePageLayoutView="70" workbookViewId="0">
      <selection activeCell="B49" sqref="B49:J49"/>
    </sheetView>
  </sheetViews>
  <sheetFormatPr defaultColWidth="8.6640625" defaultRowHeight="14.4" x14ac:dyDescent="0.3"/>
  <cols>
    <col min="1" max="1" width="2.44140625" style="1" customWidth="1"/>
    <col min="2" max="2" width="11.33203125" style="1" customWidth="1"/>
    <col min="3" max="3" width="61.44140625" style="1" customWidth="1"/>
    <col min="4" max="4" width="15.44140625" style="1" bestFit="1" customWidth="1"/>
    <col min="5" max="5" width="17" style="1" customWidth="1"/>
    <col min="6" max="6" width="17" style="1" bestFit="1" customWidth="1"/>
    <col min="7" max="7" width="17.6640625" style="1" bestFit="1" customWidth="1"/>
    <col min="8" max="8" width="17.44140625" style="1" bestFit="1" customWidth="1"/>
    <col min="9" max="9" width="15" style="458" bestFit="1" customWidth="1"/>
    <col min="10" max="10" width="6.44140625" style="1" customWidth="1"/>
    <col min="11" max="14" width="14.44140625" style="1" bestFit="1" customWidth="1"/>
    <col min="15" max="15" width="14.44140625" style="2" bestFit="1" customWidth="1"/>
    <col min="16" max="19" width="17" style="2" hidden="1" customWidth="1"/>
    <col min="20" max="20" width="17" style="2" bestFit="1" customWidth="1"/>
    <col min="21" max="24" width="17" style="2" hidden="1" customWidth="1"/>
    <col min="25" max="25" width="17" style="2" bestFit="1" customWidth="1"/>
    <col min="26" max="26" width="17.6640625" style="2" bestFit="1" customWidth="1"/>
    <col min="27" max="256" width="8.6640625" style="1"/>
    <col min="257" max="257" width="2.44140625" style="1" customWidth="1"/>
    <col min="258" max="258" width="11.33203125" style="1" customWidth="1"/>
    <col min="259" max="259" width="61.44140625" style="1" customWidth="1"/>
    <col min="260" max="260" width="15.44140625" style="1" bestFit="1" customWidth="1"/>
    <col min="261" max="261" width="17" style="1" customWidth="1"/>
    <col min="262" max="262" width="17" style="1" bestFit="1" customWidth="1"/>
    <col min="263" max="263" width="17.6640625" style="1" bestFit="1" customWidth="1"/>
    <col min="264" max="264" width="17.44140625" style="1" bestFit="1" customWidth="1"/>
    <col min="265" max="265" width="15" style="1" bestFit="1" customWidth="1"/>
    <col min="266" max="266" width="6.44140625" style="1" customWidth="1"/>
    <col min="267" max="271" width="14.44140625" style="1" bestFit="1" customWidth="1"/>
    <col min="272" max="275" width="0" style="1" hidden="1" customWidth="1"/>
    <col min="276" max="276" width="17" style="1" bestFit="1" customWidth="1"/>
    <col min="277" max="280" width="0" style="1" hidden="1" customWidth="1"/>
    <col min="281" max="281" width="17" style="1" bestFit="1" customWidth="1"/>
    <col min="282" max="282" width="17.6640625" style="1" bestFit="1" customWidth="1"/>
    <col min="283" max="512" width="8.6640625" style="1"/>
    <col min="513" max="513" width="2.44140625" style="1" customWidth="1"/>
    <col min="514" max="514" width="11.33203125" style="1" customWidth="1"/>
    <col min="515" max="515" width="61.44140625" style="1" customWidth="1"/>
    <col min="516" max="516" width="15.44140625" style="1" bestFit="1" customWidth="1"/>
    <col min="517" max="517" width="17" style="1" customWidth="1"/>
    <col min="518" max="518" width="17" style="1" bestFit="1" customWidth="1"/>
    <col min="519" max="519" width="17.6640625" style="1" bestFit="1" customWidth="1"/>
    <col min="520" max="520" width="17.44140625" style="1" bestFit="1" customWidth="1"/>
    <col min="521" max="521" width="15" style="1" bestFit="1" customWidth="1"/>
    <col min="522" max="522" width="6.44140625" style="1" customWidth="1"/>
    <col min="523" max="527" width="14.44140625" style="1" bestFit="1" customWidth="1"/>
    <col min="528" max="531" width="0" style="1" hidden="1" customWidth="1"/>
    <col min="532" max="532" width="17" style="1" bestFit="1" customWidth="1"/>
    <col min="533" max="536" width="0" style="1" hidden="1" customWidth="1"/>
    <col min="537" max="537" width="17" style="1" bestFit="1" customWidth="1"/>
    <col min="538" max="538" width="17.6640625" style="1" bestFit="1" customWidth="1"/>
    <col min="539" max="768" width="8.6640625" style="1"/>
    <col min="769" max="769" width="2.44140625" style="1" customWidth="1"/>
    <col min="770" max="770" width="11.33203125" style="1" customWidth="1"/>
    <col min="771" max="771" width="61.44140625" style="1" customWidth="1"/>
    <col min="772" max="772" width="15.44140625" style="1" bestFit="1" customWidth="1"/>
    <col min="773" max="773" width="17" style="1" customWidth="1"/>
    <col min="774" max="774" width="17" style="1" bestFit="1" customWidth="1"/>
    <col min="775" max="775" width="17.6640625" style="1" bestFit="1" customWidth="1"/>
    <col min="776" max="776" width="17.44140625" style="1" bestFit="1" customWidth="1"/>
    <col min="777" max="777" width="15" style="1" bestFit="1" customWidth="1"/>
    <col min="778" max="778" width="6.44140625" style="1" customWidth="1"/>
    <col min="779" max="783" width="14.44140625" style="1" bestFit="1" customWidth="1"/>
    <col min="784" max="787" width="0" style="1" hidden="1" customWidth="1"/>
    <col min="788" max="788" width="17" style="1" bestFit="1" customWidth="1"/>
    <col min="789" max="792" width="0" style="1" hidden="1" customWidth="1"/>
    <col min="793" max="793" width="17" style="1" bestFit="1" customWidth="1"/>
    <col min="794" max="794" width="17.6640625" style="1" bestFit="1" customWidth="1"/>
    <col min="795" max="1024" width="8.6640625" style="1"/>
    <col min="1025" max="1025" width="2.44140625" style="1" customWidth="1"/>
    <col min="1026" max="1026" width="11.33203125" style="1" customWidth="1"/>
    <col min="1027" max="1027" width="61.44140625" style="1" customWidth="1"/>
    <col min="1028" max="1028" width="15.44140625" style="1" bestFit="1" customWidth="1"/>
    <col min="1029" max="1029" width="17" style="1" customWidth="1"/>
    <col min="1030" max="1030" width="17" style="1" bestFit="1" customWidth="1"/>
    <col min="1031" max="1031" width="17.6640625" style="1" bestFit="1" customWidth="1"/>
    <col min="1032" max="1032" width="17.44140625" style="1" bestFit="1" customWidth="1"/>
    <col min="1033" max="1033" width="15" style="1" bestFit="1" customWidth="1"/>
    <col min="1034" max="1034" width="6.44140625" style="1" customWidth="1"/>
    <col min="1035" max="1039" width="14.44140625" style="1" bestFit="1" customWidth="1"/>
    <col min="1040" max="1043" width="0" style="1" hidden="1" customWidth="1"/>
    <col min="1044" max="1044" width="17" style="1" bestFit="1" customWidth="1"/>
    <col min="1045" max="1048" width="0" style="1" hidden="1" customWidth="1"/>
    <col min="1049" max="1049" width="17" style="1" bestFit="1" customWidth="1"/>
    <col min="1050" max="1050" width="17.6640625" style="1" bestFit="1" customWidth="1"/>
    <col min="1051" max="1280" width="8.6640625" style="1"/>
    <col min="1281" max="1281" width="2.44140625" style="1" customWidth="1"/>
    <col min="1282" max="1282" width="11.33203125" style="1" customWidth="1"/>
    <col min="1283" max="1283" width="61.44140625" style="1" customWidth="1"/>
    <col min="1284" max="1284" width="15.44140625" style="1" bestFit="1" customWidth="1"/>
    <col min="1285" max="1285" width="17" style="1" customWidth="1"/>
    <col min="1286" max="1286" width="17" style="1" bestFit="1" customWidth="1"/>
    <col min="1287" max="1287" width="17.6640625" style="1" bestFit="1" customWidth="1"/>
    <col min="1288" max="1288" width="17.44140625" style="1" bestFit="1" customWidth="1"/>
    <col min="1289" max="1289" width="15" style="1" bestFit="1" customWidth="1"/>
    <col min="1290" max="1290" width="6.44140625" style="1" customWidth="1"/>
    <col min="1291" max="1295" width="14.44140625" style="1" bestFit="1" customWidth="1"/>
    <col min="1296" max="1299" width="0" style="1" hidden="1" customWidth="1"/>
    <col min="1300" max="1300" width="17" style="1" bestFit="1" customWidth="1"/>
    <col min="1301" max="1304" width="0" style="1" hidden="1" customWidth="1"/>
    <col min="1305" max="1305" width="17" style="1" bestFit="1" customWidth="1"/>
    <col min="1306" max="1306" width="17.6640625" style="1" bestFit="1" customWidth="1"/>
    <col min="1307" max="1536" width="8.6640625" style="1"/>
    <col min="1537" max="1537" width="2.44140625" style="1" customWidth="1"/>
    <col min="1538" max="1538" width="11.33203125" style="1" customWidth="1"/>
    <col min="1539" max="1539" width="61.44140625" style="1" customWidth="1"/>
    <col min="1540" max="1540" width="15.44140625" style="1" bestFit="1" customWidth="1"/>
    <col min="1541" max="1541" width="17" style="1" customWidth="1"/>
    <col min="1542" max="1542" width="17" style="1" bestFit="1" customWidth="1"/>
    <col min="1543" max="1543" width="17.6640625" style="1" bestFit="1" customWidth="1"/>
    <col min="1544" max="1544" width="17.44140625" style="1" bestFit="1" customWidth="1"/>
    <col min="1545" max="1545" width="15" style="1" bestFit="1" customWidth="1"/>
    <col min="1546" max="1546" width="6.44140625" style="1" customWidth="1"/>
    <col min="1547" max="1551" width="14.44140625" style="1" bestFit="1" customWidth="1"/>
    <col min="1552" max="1555" width="0" style="1" hidden="1" customWidth="1"/>
    <col min="1556" max="1556" width="17" style="1" bestFit="1" customWidth="1"/>
    <col min="1557" max="1560" width="0" style="1" hidden="1" customWidth="1"/>
    <col min="1561" max="1561" width="17" style="1" bestFit="1" customWidth="1"/>
    <col min="1562" max="1562" width="17.6640625" style="1" bestFit="1" customWidth="1"/>
    <col min="1563" max="1792" width="8.6640625" style="1"/>
    <col min="1793" max="1793" width="2.44140625" style="1" customWidth="1"/>
    <col min="1794" max="1794" width="11.33203125" style="1" customWidth="1"/>
    <col min="1795" max="1795" width="61.44140625" style="1" customWidth="1"/>
    <col min="1796" max="1796" width="15.44140625" style="1" bestFit="1" customWidth="1"/>
    <col min="1797" max="1797" width="17" style="1" customWidth="1"/>
    <col min="1798" max="1798" width="17" style="1" bestFit="1" customWidth="1"/>
    <col min="1799" max="1799" width="17.6640625" style="1" bestFit="1" customWidth="1"/>
    <col min="1800" max="1800" width="17.44140625" style="1" bestFit="1" customWidth="1"/>
    <col min="1801" max="1801" width="15" style="1" bestFit="1" customWidth="1"/>
    <col min="1802" max="1802" width="6.44140625" style="1" customWidth="1"/>
    <col min="1803" max="1807" width="14.44140625" style="1" bestFit="1" customWidth="1"/>
    <col min="1808" max="1811" width="0" style="1" hidden="1" customWidth="1"/>
    <col min="1812" max="1812" width="17" style="1" bestFit="1" customWidth="1"/>
    <col min="1813" max="1816" width="0" style="1" hidden="1" customWidth="1"/>
    <col min="1817" max="1817" width="17" style="1" bestFit="1" customWidth="1"/>
    <col min="1818" max="1818" width="17.6640625" style="1" bestFit="1" customWidth="1"/>
    <col min="1819" max="2048" width="8.6640625" style="1"/>
    <col min="2049" max="2049" width="2.44140625" style="1" customWidth="1"/>
    <col min="2050" max="2050" width="11.33203125" style="1" customWidth="1"/>
    <col min="2051" max="2051" width="61.44140625" style="1" customWidth="1"/>
    <col min="2052" max="2052" width="15.44140625" style="1" bestFit="1" customWidth="1"/>
    <col min="2053" max="2053" width="17" style="1" customWidth="1"/>
    <col min="2054" max="2054" width="17" style="1" bestFit="1" customWidth="1"/>
    <col min="2055" max="2055" width="17.6640625" style="1" bestFit="1" customWidth="1"/>
    <col min="2056" max="2056" width="17.44140625" style="1" bestFit="1" customWidth="1"/>
    <col min="2057" max="2057" width="15" style="1" bestFit="1" customWidth="1"/>
    <col min="2058" max="2058" width="6.44140625" style="1" customWidth="1"/>
    <col min="2059" max="2063" width="14.44140625" style="1" bestFit="1" customWidth="1"/>
    <col min="2064" max="2067" width="0" style="1" hidden="1" customWidth="1"/>
    <col min="2068" max="2068" width="17" style="1" bestFit="1" customWidth="1"/>
    <col min="2069" max="2072" width="0" style="1" hidden="1" customWidth="1"/>
    <col min="2073" max="2073" width="17" style="1" bestFit="1" customWidth="1"/>
    <col min="2074" max="2074" width="17.6640625" style="1" bestFit="1" customWidth="1"/>
    <col min="2075" max="2304" width="8.6640625" style="1"/>
    <col min="2305" max="2305" width="2.44140625" style="1" customWidth="1"/>
    <col min="2306" max="2306" width="11.33203125" style="1" customWidth="1"/>
    <col min="2307" max="2307" width="61.44140625" style="1" customWidth="1"/>
    <col min="2308" max="2308" width="15.44140625" style="1" bestFit="1" customWidth="1"/>
    <col min="2309" max="2309" width="17" style="1" customWidth="1"/>
    <col min="2310" max="2310" width="17" style="1" bestFit="1" customWidth="1"/>
    <col min="2311" max="2311" width="17.6640625" style="1" bestFit="1" customWidth="1"/>
    <col min="2312" max="2312" width="17.44140625" style="1" bestFit="1" customWidth="1"/>
    <col min="2313" max="2313" width="15" style="1" bestFit="1" customWidth="1"/>
    <col min="2314" max="2314" width="6.44140625" style="1" customWidth="1"/>
    <col min="2315" max="2319" width="14.44140625" style="1" bestFit="1" customWidth="1"/>
    <col min="2320" max="2323" width="0" style="1" hidden="1" customWidth="1"/>
    <col min="2324" max="2324" width="17" style="1" bestFit="1" customWidth="1"/>
    <col min="2325" max="2328" width="0" style="1" hidden="1" customWidth="1"/>
    <col min="2329" max="2329" width="17" style="1" bestFit="1" customWidth="1"/>
    <col min="2330" max="2330" width="17.6640625" style="1" bestFit="1" customWidth="1"/>
    <col min="2331" max="2560" width="8.6640625" style="1"/>
    <col min="2561" max="2561" width="2.44140625" style="1" customWidth="1"/>
    <col min="2562" max="2562" width="11.33203125" style="1" customWidth="1"/>
    <col min="2563" max="2563" width="61.44140625" style="1" customWidth="1"/>
    <col min="2564" max="2564" width="15.44140625" style="1" bestFit="1" customWidth="1"/>
    <col min="2565" max="2565" width="17" style="1" customWidth="1"/>
    <col min="2566" max="2566" width="17" style="1" bestFit="1" customWidth="1"/>
    <col min="2567" max="2567" width="17.6640625" style="1" bestFit="1" customWidth="1"/>
    <col min="2568" max="2568" width="17.44140625" style="1" bestFit="1" customWidth="1"/>
    <col min="2569" max="2569" width="15" style="1" bestFit="1" customWidth="1"/>
    <col min="2570" max="2570" width="6.44140625" style="1" customWidth="1"/>
    <col min="2571" max="2575" width="14.44140625" style="1" bestFit="1" customWidth="1"/>
    <col min="2576" max="2579" width="0" style="1" hidden="1" customWidth="1"/>
    <col min="2580" max="2580" width="17" style="1" bestFit="1" customWidth="1"/>
    <col min="2581" max="2584" width="0" style="1" hidden="1" customWidth="1"/>
    <col min="2585" max="2585" width="17" style="1" bestFit="1" customWidth="1"/>
    <col min="2586" max="2586" width="17.6640625" style="1" bestFit="1" customWidth="1"/>
    <col min="2587" max="2816" width="8.6640625" style="1"/>
    <col min="2817" max="2817" width="2.44140625" style="1" customWidth="1"/>
    <col min="2818" max="2818" width="11.33203125" style="1" customWidth="1"/>
    <col min="2819" max="2819" width="61.44140625" style="1" customWidth="1"/>
    <col min="2820" max="2820" width="15.44140625" style="1" bestFit="1" customWidth="1"/>
    <col min="2821" max="2821" width="17" style="1" customWidth="1"/>
    <col min="2822" max="2822" width="17" style="1" bestFit="1" customWidth="1"/>
    <col min="2823" max="2823" width="17.6640625" style="1" bestFit="1" customWidth="1"/>
    <col min="2824" max="2824" width="17.44140625" style="1" bestFit="1" customWidth="1"/>
    <col min="2825" max="2825" width="15" style="1" bestFit="1" customWidth="1"/>
    <col min="2826" max="2826" width="6.44140625" style="1" customWidth="1"/>
    <col min="2827" max="2831" width="14.44140625" style="1" bestFit="1" customWidth="1"/>
    <col min="2832" max="2835" width="0" style="1" hidden="1" customWidth="1"/>
    <col min="2836" max="2836" width="17" style="1" bestFit="1" customWidth="1"/>
    <col min="2837" max="2840" width="0" style="1" hidden="1" customWidth="1"/>
    <col min="2841" max="2841" width="17" style="1" bestFit="1" customWidth="1"/>
    <col min="2842" max="2842" width="17.6640625" style="1" bestFit="1" customWidth="1"/>
    <col min="2843" max="3072" width="8.6640625" style="1"/>
    <col min="3073" max="3073" width="2.44140625" style="1" customWidth="1"/>
    <col min="3074" max="3074" width="11.33203125" style="1" customWidth="1"/>
    <col min="3075" max="3075" width="61.44140625" style="1" customWidth="1"/>
    <col min="3076" max="3076" width="15.44140625" style="1" bestFit="1" customWidth="1"/>
    <col min="3077" max="3077" width="17" style="1" customWidth="1"/>
    <col min="3078" max="3078" width="17" style="1" bestFit="1" customWidth="1"/>
    <col min="3079" max="3079" width="17.6640625" style="1" bestFit="1" customWidth="1"/>
    <col min="3080" max="3080" width="17.44140625" style="1" bestFit="1" customWidth="1"/>
    <col min="3081" max="3081" width="15" style="1" bestFit="1" customWidth="1"/>
    <col min="3082" max="3082" width="6.44140625" style="1" customWidth="1"/>
    <col min="3083" max="3087" width="14.44140625" style="1" bestFit="1" customWidth="1"/>
    <col min="3088" max="3091" width="0" style="1" hidden="1" customWidth="1"/>
    <col min="3092" max="3092" width="17" style="1" bestFit="1" customWidth="1"/>
    <col min="3093" max="3096" width="0" style="1" hidden="1" customWidth="1"/>
    <col min="3097" max="3097" width="17" style="1" bestFit="1" customWidth="1"/>
    <col min="3098" max="3098" width="17.6640625" style="1" bestFit="1" customWidth="1"/>
    <col min="3099" max="3328" width="8.6640625" style="1"/>
    <col min="3329" max="3329" width="2.44140625" style="1" customWidth="1"/>
    <col min="3330" max="3330" width="11.33203125" style="1" customWidth="1"/>
    <col min="3331" max="3331" width="61.44140625" style="1" customWidth="1"/>
    <col min="3332" max="3332" width="15.44140625" style="1" bestFit="1" customWidth="1"/>
    <col min="3333" max="3333" width="17" style="1" customWidth="1"/>
    <col min="3334" max="3334" width="17" style="1" bestFit="1" customWidth="1"/>
    <col min="3335" max="3335" width="17.6640625" style="1" bestFit="1" customWidth="1"/>
    <col min="3336" max="3336" width="17.44140625" style="1" bestFit="1" customWidth="1"/>
    <col min="3337" max="3337" width="15" style="1" bestFit="1" customWidth="1"/>
    <col min="3338" max="3338" width="6.44140625" style="1" customWidth="1"/>
    <col min="3339" max="3343" width="14.44140625" style="1" bestFit="1" customWidth="1"/>
    <col min="3344" max="3347" width="0" style="1" hidden="1" customWidth="1"/>
    <col min="3348" max="3348" width="17" style="1" bestFit="1" customWidth="1"/>
    <col min="3349" max="3352" width="0" style="1" hidden="1" customWidth="1"/>
    <col min="3353" max="3353" width="17" style="1" bestFit="1" customWidth="1"/>
    <col min="3354" max="3354" width="17.6640625" style="1" bestFit="1" customWidth="1"/>
    <col min="3355" max="3584" width="8.6640625" style="1"/>
    <col min="3585" max="3585" width="2.44140625" style="1" customWidth="1"/>
    <col min="3586" max="3586" width="11.33203125" style="1" customWidth="1"/>
    <col min="3587" max="3587" width="61.44140625" style="1" customWidth="1"/>
    <col min="3588" max="3588" width="15.44140625" style="1" bestFit="1" customWidth="1"/>
    <col min="3589" max="3589" width="17" style="1" customWidth="1"/>
    <col min="3590" max="3590" width="17" style="1" bestFit="1" customWidth="1"/>
    <col min="3591" max="3591" width="17.6640625" style="1" bestFit="1" customWidth="1"/>
    <col min="3592" max="3592" width="17.44140625" style="1" bestFit="1" customWidth="1"/>
    <col min="3593" max="3593" width="15" style="1" bestFit="1" customWidth="1"/>
    <col min="3594" max="3594" width="6.44140625" style="1" customWidth="1"/>
    <col min="3595" max="3599" width="14.44140625" style="1" bestFit="1" customWidth="1"/>
    <col min="3600" max="3603" width="0" style="1" hidden="1" customWidth="1"/>
    <col min="3604" max="3604" width="17" style="1" bestFit="1" customWidth="1"/>
    <col min="3605" max="3608" width="0" style="1" hidden="1" customWidth="1"/>
    <col min="3609" max="3609" width="17" style="1" bestFit="1" customWidth="1"/>
    <col min="3610" max="3610" width="17.6640625" style="1" bestFit="1" customWidth="1"/>
    <col min="3611" max="3840" width="8.6640625" style="1"/>
    <col min="3841" max="3841" width="2.44140625" style="1" customWidth="1"/>
    <col min="3842" max="3842" width="11.33203125" style="1" customWidth="1"/>
    <col min="3843" max="3843" width="61.44140625" style="1" customWidth="1"/>
    <col min="3844" max="3844" width="15.44140625" style="1" bestFit="1" customWidth="1"/>
    <col min="3845" max="3845" width="17" style="1" customWidth="1"/>
    <col min="3846" max="3846" width="17" style="1" bestFit="1" customWidth="1"/>
    <col min="3847" max="3847" width="17.6640625" style="1" bestFit="1" customWidth="1"/>
    <col min="3848" max="3848" width="17.44140625" style="1" bestFit="1" customWidth="1"/>
    <col min="3849" max="3849" width="15" style="1" bestFit="1" customWidth="1"/>
    <col min="3850" max="3850" width="6.44140625" style="1" customWidth="1"/>
    <col min="3851" max="3855" width="14.44140625" style="1" bestFit="1" customWidth="1"/>
    <col min="3856" max="3859" width="0" style="1" hidden="1" customWidth="1"/>
    <col min="3860" max="3860" width="17" style="1" bestFit="1" customWidth="1"/>
    <col min="3861" max="3864" width="0" style="1" hidden="1" customWidth="1"/>
    <col min="3865" max="3865" width="17" style="1" bestFit="1" customWidth="1"/>
    <col min="3866" max="3866" width="17.6640625" style="1" bestFit="1" customWidth="1"/>
    <col min="3867" max="4096" width="8.6640625" style="1"/>
    <col min="4097" max="4097" width="2.44140625" style="1" customWidth="1"/>
    <col min="4098" max="4098" width="11.33203125" style="1" customWidth="1"/>
    <col min="4099" max="4099" width="61.44140625" style="1" customWidth="1"/>
    <col min="4100" max="4100" width="15.44140625" style="1" bestFit="1" customWidth="1"/>
    <col min="4101" max="4101" width="17" style="1" customWidth="1"/>
    <col min="4102" max="4102" width="17" style="1" bestFit="1" customWidth="1"/>
    <col min="4103" max="4103" width="17.6640625" style="1" bestFit="1" customWidth="1"/>
    <col min="4104" max="4104" width="17.44140625" style="1" bestFit="1" customWidth="1"/>
    <col min="4105" max="4105" width="15" style="1" bestFit="1" customWidth="1"/>
    <col min="4106" max="4106" width="6.44140625" style="1" customWidth="1"/>
    <col min="4107" max="4111" width="14.44140625" style="1" bestFit="1" customWidth="1"/>
    <col min="4112" max="4115" width="0" style="1" hidden="1" customWidth="1"/>
    <col min="4116" max="4116" width="17" style="1" bestFit="1" customWidth="1"/>
    <col min="4117" max="4120" width="0" style="1" hidden="1" customWidth="1"/>
    <col min="4121" max="4121" width="17" style="1" bestFit="1" customWidth="1"/>
    <col min="4122" max="4122" width="17.6640625" style="1" bestFit="1" customWidth="1"/>
    <col min="4123" max="4352" width="8.6640625" style="1"/>
    <col min="4353" max="4353" width="2.44140625" style="1" customWidth="1"/>
    <col min="4354" max="4354" width="11.33203125" style="1" customWidth="1"/>
    <col min="4355" max="4355" width="61.44140625" style="1" customWidth="1"/>
    <col min="4356" max="4356" width="15.44140625" style="1" bestFit="1" customWidth="1"/>
    <col min="4357" max="4357" width="17" style="1" customWidth="1"/>
    <col min="4358" max="4358" width="17" style="1" bestFit="1" customWidth="1"/>
    <col min="4359" max="4359" width="17.6640625" style="1" bestFit="1" customWidth="1"/>
    <col min="4360" max="4360" width="17.44140625" style="1" bestFit="1" customWidth="1"/>
    <col min="4361" max="4361" width="15" style="1" bestFit="1" customWidth="1"/>
    <col min="4362" max="4362" width="6.44140625" style="1" customWidth="1"/>
    <col min="4363" max="4367" width="14.44140625" style="1" bestFit="1" customWidth="1"/>
    <col min="4368" max="4371" width="0" style="1" hidden="1" customWidth="1"/>
    <col min="4372" max="4372" width="17" style="1" bestFit="1" customWidth="1"/>
    <col min="4373" max="4376" width="0" style="1" hidden="1" customWidth="1"/>
    <col min="4377" max="4377" width="17" style="1" bestFit="1" customWidth="1"/>
    <col min="4378" max="4378" width="17.6640625" style="1" bestFit="1" customWidth="1"/>
    <col min="4379" max="4608" width="8.6640625" style="1"/>
    <col min="4609" max="4609" width="2.44140625" style="1" customWidth="1"/>
    <col min="4610" max="4610" width="11.33203125" style="1" customWidth="1"/>
    <col min="4611" max="4611" width="61.44140625" style="1" customWidth="1"/>
    <col min="4612" max="4612" width="15.44140625" style="1" bestFit="1" customWidth="1"/>
    <col min="4613" max="4613" width="17" style="1" customWidth="1"/>
    <col min="4614" max="4614" width="17" style="1" bestFit="1" customWidth="1"/>
    <col min="4615" max="4615" width="17.6640625" style="1" bestFit="1" customWidth="1"/>
    <col min="4616" max="4616" width="17.44140625" style="1" bestFit="1" customWidth="1"/>
    <col min="4617" max="4617" width="15" style="1" bestFit="1" customWidth="1"/>
    <col min="4618" max="4618" width="6.44140625" style="1" customWidth="1"/>
    <col min="4619" max="4623" width="14.44140625" style="1" bestFit="1" customWidth="1"/>
    <col min="4624" max="4627" width="0" style="1" hidden="1" customWidth="1"/>
    <col min="4628" max="4628" width="17" style="1" bestFit="1" customWidth="1"/>
    <col min="4629" max="4632" width="0" style="1" hidden="1" customWidth="1"/>
    <col min="4633" max="4633" width="17" style="1" bestFit="1" customWidth="1"/>
    <col min="4634" max="4634" width="17.6640625" style="1" bestFit="1" customWidth="1"/>
    <col min="4635" max="4864" width="8.6640625" style="1"/>
    <col min="4865" max="4865" width="2.44140625" style="1" customWidth="1"/>
    <col min="4866" max="4866" width="11.33203125" style="1" customWidth="1"/>
    <col min="4867" max="4867" width="61.44140625" style="1" customWidth="1"/>
    <col min="4868" max="4868" width="15.44140625" style="1" bestFit="1" customWidth="1"/>
    <col min="4869" max="4869" width="17" style="1" customWidth="1"/>
    <col min="4870" max="4870" width="17" style="1" bestFit="1" customWidth="1"/>
    <col min="4871" max="4871" width="17.6640625" style="1" bestFit="1" customWidth="1"/>
    <col min="4872" max="4872" width="17.44140625" style="1" bestFit="1" customWidth="1"/>
    <col min="4873" max="4873" width="15" style="1" bestFit="1" customWidth="1"/>
    <col min="4874" max="4874" width="6.44140625" style="1" customWidth="1"/>
    <col min="4875" max="4879" width="14.44140625" style="1" bestFit="1" customWidth="1"/>
    <col min="4880" max="4883" width="0" style="1" hidden="1" customWidth="1"/>
    <col min="4884" max="4884" width="17" style="1" bestFit="1" customWidth="1"/>
    <col min="4885" max="4888" width="0" style="1" hidden="1" customWidth="1"/>
    <col min="4889" max="4889" width="17" style="1" bestFit="1" customWidth="1"/>
    <col min="4890" max="4890" width="17.6640625" style="1" bestFit="1" customWidth="1"/>
    <col min="4891" max="5120" width="8.6640625" style="1"/>
    <col min="5121" max="5121" width="2.44140625" style="1" customWidth="1"/>
    <col min="5122" max="5122" width="11.33203125" style="1" customWidth="1"/>
    <col min="5123" max="5123" width="61.44140625" style="1" customWidth="1"/>
    <col min="5124" max="5124" width="15.44140625" style="1" bestFit="1" customWidth="1"/>
    <col min="5125" max="5125" width="17" style="1" customWidth="1"/>
    <col min="5126" max="5126" width="17" style="1" bestFit="1" customWidth="1"/>
    <col min="5127" max="5127" width="17.6640625" style="1" bestFit="1" customWidth="1"/>
    <col min="5128" max="5128" width="17.44140625" style="1" bestFit="1" customWidth="1"/>
    <col min="5129" max="5129" width="15" style="1" bestFit="1" customWidth="1"/>
    <col min="5130" max="5130" width="6.44140625" style="1" customWidth="1"/>
    <col min="5131" max="5135" width="14.44140625" style="1" bestFit="1" customWidth="1"/>
    <col min="5136" max="5139" width="0" style="1" hidden="1" customWidth="1"/>
    <col min="5140" max="5140" width="17" style="1" bestFit="1" customWidth="1"/>
    <col min="5141" max="5144" width="0" style="1" hidden="1" customWidth="1"/>
    <col min="5145" max="5145" width="17" style="1" bestFit="1" customWidth="1"/>
    <col min="5146" max="5146" width="17.6640625" style="1" bestFit="1" customWidth="1"/>
    <col min="5147" max="5376" width="8.6640625" style="1"/>
    <col min="5377" max="5377" width="2.44140625" style="1" customWidth="1"/>
    <col min="5378" max="5378" width="11.33203125" style="1" customWidth="1"/>
    <col min="5379" max="5379" width="61.44140625" style="1" customWidth="1"/>
    <col min="5380" max="5380" width="15.44140625" style="1" bestFit="1" customWidth="1"/>
    <col min="5381" max="5381" width="17" style="1" customWidth="1"/>
    <col min="5382" max="5382" width="17" style="1" bestFit="1" customWidth="1"/>
    <col min="5383" max="5383" width="17.6640625" style="1" bestFit="1" customWidth="1"/>
    <col min="5384" max="5384" width="17.44140625" style="1" bestFit="1" customWidth="1"/>
    <col min="5385" max="5385" width="15" style="1" bestFit="1" customWidth="1"/>
    <col min="5386" max="5386" width="6.44140625" style="1" customWidth="1"/>
    <col min="5387" max="5391" width="14.44140625" style="1" bestFit="1" customWidth="1"/>
    <col min="5392" max="5395" width="0" style="1" hidden="1" customWidth="1"/>
    <col min="5396" max="5396" width="17" style="1" bestFit="1" customWidth="1"/>
    <col min="5397" max="5400" width="0" style="1" hidden="1" customWidth="1"/>
    <col min="5401" max="5401" width="17" style="1" bestFit="1" customWidth="1"/>
    <col min="5402" max="5402" width="17.6640625" style="1" bestFit="1" customWidth="1"/>
    <col min="5403" max="5632" width="8.6640625" style="1"/>
    <col min="5633" max="5633" width="2.44140625" style="1" customWidth="1"/>
    <col min="5634" max="5634" width="11.33203125" style="1" customWidth="1"/>
    <col min="5635" max="5635" width="61.44140625" style="1" customWidth="1"/>
    <col min="5636" max="5636" width="15.44140625" style="1" bestFit="1" customWidth="1"/>
    <col min="5637" max="5637" width="17" style="1" customWidth="1"/>
    <col min="5638" max="5638" width="17" style="1" bestFit="1" customWidth="1"/>
    <col min="5639" max="5639" width="17.6640625" style="1" bestFit="1" customWidth="1"/>
    <col min="5640" max="5640" width="17.44140625" style="1" bestFit="1" customWidth="1"/>
    <col min="5641" max="5641" width="15" style="1" bestFit="1" customWidth="1"/>
    <col min="5642" max="5642" width="6.44140625" style="1" customWidth="1"/>
    <col min="5643" max="5647" width="14.44140625" style="1" bestFit="1" customWidth="1"/>
    <col min="5648" max="5651" width="0" style="1" hidden="1" customWidth="1"/>
    <col min="5652" max="5652" width="17" style="1" bestFit="1" customWidth="1"/>
    <col min="5653" max="5656" width="0" style="1" hidden="1" customWidth="1"/>
    <col min="5657" max="5657" width="17" style="1" bestFit="1" customWidth="1"/>
    <col min="5658" max="5658" width="17.6640625" style="1" bestFit="1" customWidth="1"/>
    <col min="5659" max="5888" width="8.6640625" style="1"/>
    <col min="5889" max="5889" width="2.44140625" style="1" customWidth="1"/>
    <col min="5890" max="5890" width="11.33203125" style="1" customWidth="1"/>
    <col min="5891" max="5891" width="61.44140625" style="1" customWidth="1"/>
    <col min="5892" max="5892" width="15.44140625" style="1" bestFit="1" customWidth="1"/>
    <col min="5893" max="5893" width="17" style="1" customWidth="1"/>
    <col min="5894" max="5894" width="17" style="1" bestFit="1" customWidth="1"/>
    <col min="5895" max="5895" width="17.6640625" style="1" bestFit="1" customWidth="1"/>
    <col min="5896" max="5896" width="17.44140625" style="1" bestFit="1" customWidth="1"/>
    <col min="5897" max="5897" width="15" style="1" bestFit="1" customWidth="1"/>
    <col min="5898" max="5898" width="6.44140625" style="1" customWidth="1"/>
    <col min="5899" max="5903" width="14.44140625" style="1" bestFit="1" customWidth="1"/>
    <col min="5904" max="5907" width="0" style="1" hidden="1" customWidth="1"/>
    <col min="5908" max="5908" width="17" style="1" bestFit="1" customWidth="1"/>
    <col min="5909" max="5912" width="0" style="1" hidden="1" customWidth="1"/>
    <col min="5913" max="5913" width="17" style="1" bestFit="1" customWidth="1"/>
    <col min="5914" max="5914" width="17.6640625" style="1" bestFit="1" customWidth="1"/>
    <col min="5915" max="6144" width="8.6640625" style="1"/>
    <col min="6145" max="6145" width="2.44140625" style="1" customWidth="1"/>
    <col min="6146" max="6146" width="11.33203125" style="1" customWidth="1"/>
    <col min="6147" max="6147" width="61.44140625" style="1" customWidth="1"/>
    <col min="6148" max="6148" width="15.44140625" style="1" bestFit="1" customWidth="1"/>
    <col min="6149" max="6149" width="17" style="1" customWidth="1"/>
    <col min="6150" max="6150" width="17" style="1" bestFit="1" customWidth="1"/>
    <col min="6151" max="6151" width="17.6640625" style="1" bestFit="1" customWidth="1"/>
    <col min="6152" max="6152" width="17.44140625" style="1" bestFit="1" customWidth="1"/>
    <col min="6153" max="6153" width="15" style="1" bestFit="1" customWidth="1"/>
    <col min="6154" max="6154" width="6.44140625" style="1" customWidth="1"/>
    <col min="6155" max="6159" width="14.44140625" style="1" bestFit="1" customWidth="1"/>
    <col min="6160" max="6163" width="0" style="1" hidden="1" customWidth="1"/>
    <col min="6164" max="6164" width="17" style="1" bestFit="1" customWidth="1"/>
    <col min="6165" max="6168" width="0" style="1" hidden="1" customWidth="1"/>
    <col min="6169" max="6169" width="17" style="1" bestFit="1" customWidth="1"/>
    <col min="6170" max="6170" width="17.6640625" style="1" bestFit="1" customWidth="1"/>
    <col min="6171" max="6400" width="8.6640625" style="1"/>
    <col min="6401" max="6401" width="2.44140625" style="1" customWidth="1"/>
    <col min="6402" max="6402" width="11.33203125" style="1" customWidth="1"/>
    <col min="6403" max="6403" width="61.44140625" style="1" customWidth="1"/>
    <col min="6404" max="6404" width="15.44140625" style="1" bestFit="1" customWidth="1"/>
    <col min="6405" max="6405" width="17" style="1" customWidth="1"/>
    <col min="6406" max="6406" width="17" style="1" bestFit="1" customWidth="1"/>
    <col min="6407" max="6407" width="17.6640625" style="1" bestFit="1" customWidth="1"/>
    <col min="6408" max="6408" width="17.44140625" style="1" bestFit="1" customWidth="1"/>
    <col min="6409" max="6409" width="15" style="1" bestFit="1" customWidth="1"/>
    <col min="6410" max="6410" width="6.44140625" style="1" customWidth="1"/>
    <col min="6411" max="6415" width="14.44140625" style="1" bestFit="1" customWidth="1"/>
    <col min="6416" max="6419" width="0" style="1" hidden="1" customWidth="1"/>
    <col min="6420" max="6420" width="17" style="1" bestFit="1" customWidth="1"/>
    <col min="6421" max="6424" width="0" style="1" hidden="1" customWidth="1"/>
    <col min="6425" max="6425" width="17" style="1" bestFit="1" customWidth="1"/>
    <col min="6426" max="6426" width="17.6640625" style="1" bestFit="1" customWidth="1"/>
    <col min="6427" max="6656" width="8.6640625" style="1"/>
    <col min="6657" max="6657" width="2.44140625" style="1" customWidth="1"/>
    <col min="6658" max="6658" width="11.33203125" style="1" customWidth="1"/>
    <col min="6659" max="6659" width="61.44140625" style="1" customWidth="1"/>
    <col min="6660" max="6660" width="15.44140625" style="1" bestFit="1" customWidth="1"/>
    <col min="6661" max="6661" width="17" style="1" customWidth="1"/>
    <col min="6662" max="6662" width="17" style="1" bestFit="1" customWidth="1"/>
    <col min="6663" max="6663" width="17.6640625" style="1" bestFit="1" customWidth="1"/>
    <col min="6664" max="6664" width="17.44140625" style="1" bestFit="1" customWidth="1"/>
    <col min="6665" max="6665" width="15" style="1" bestFit="1" customWidth="1"/>
    <col min="6666" max="6666" width="6.44140625" style="1" customWidth="1"/>
    <col min="6667" max="6671" width="14.44140625" style="1" bestFit="1" customWidth="1"/>
    <col min="6672" max="6675" width="0" style="1" hidden="1" customWidth="1"/>
    <col min="6676" max="6676" width="17" style="1" bestFit="1" customWidth="1"/>
    <col min="6677" max="6680" width="0" style="1" hidden="1" customWidth="1"/>
    <col min="6681" max="6681" width="17" style="1" bestFit="1" customWidth="1"/>
    <col min="6682" max="6682" width="17.6640625" style="1" bestFit="1" customWidth="1"/>
    <col min="6683" max="6912" width="8.6640625" style="1"/>
    <col min="6913" max="6913" width="2.44140625" style="1" customWidth="1"/>
    <col min="6914" max="6914" width="11.33203125" style="1" customWidth="1"/>
    <col min="6915" max="6915" width="61.44140625" style="1" customWidth="1"/>
    <col min="6916" max="6916" width="15.44140625" style="1" bestFit="1" customWidth="1"/>
    <col min="6917" max="6917" width="17" style="1" customWidth="1"/>
    <col min="6918" max="6918" width="17" style="1" bestFit="1" customWidth="1"/>
    <col min="6919" max="6919" width="17.6640625" style="1" bestFit="1" customWidth="1"/>
    <col min="6920" max="6920" width="17.44140625" style="1" bestFit="1" customWidth="1"/>
    <col min="6921" max="6921" width="15" style="1" bestFit="1" customWidth="1"/>
    <col min="6922" max="6922" width="6.44140625" style="1" customWidth="1"/>
    <col min="6923" max="6927" width="14.44140625" style="1" bestFit="1" customWidth="1"/>
    <col min="6928" max="6931" width="0" style="1" hidden="1" customWidth="1"/>
    <col min="6932" max="6932" width="17" style="1" bestFit="1" customWidth="1"/>
    <col min="6933" max="6936" width="0" style="1" hidden="1" customWidth="1"/>
    <col min="6937" max="6937" width="17" style="1" bestFit="1" customWidth="1"/>
    <col min="6938" max="6938" width="17.6640625" style="1" bestFit="1" customWidth="1"/>
    <col min="6939" max="7168" width="8.6640625" style="1"/>
    <col min="7169" max="7169" width="2.44140625" style="1" customWidth="1"/>
    <col min="7170" max="7170" width="11.33203125" style="1" customWidth="1"/>
    <col min="7171" max="7171" width="61.44140625" style="1" customWidth="1"/>
    <col min="7172" max="7172" width="15.44140625" style="1" bestFit="1" customWidth="1"/>
    <col min="7173" max="7173" width="17" style="1" customWidth="1"/>
    <col min="7174" max="7174" width="17" style="1" bestFit="1" customWidth="1"/>
    <col min="7175" max="7175" width="17.6640625" style="1" bestFit="1" customWidth="1"/>
    <col min="7176" max="7176" width="17.44140625" style="1" bestFit="1" customWidth="1"/>
    <col min="7177" max="7177" width="15" style="1" bestFit="1" customWidth="1"/>
    <col min="7178" max="7178" width="6.44140625" style="1" customWidth="1"/>
    <col min="7179" max="7183" width="14.44140625" style="1" bestFit="1" customWidth="1"/>
    <col min="7184" max="7187" width="0" style="1" hidden="1" customWidth="1"/>
    <col min="7188" max="7188" width="17" style="1" bestFit="1" customWidth="1"/>
    <col min="7189" max="7192" width="0" style="1" hidden="1" customWidth="1"/>
    <col min="7193" max="7193" width="17" style="1" bestFit="1" customWidth="1"/>
    <col min="7194" max="7194" width="17.6640625" style="1" bestFit="1" customWidth="1"/>
    <col min="7195" max="7424" width="8.6640625" style="1"/>
    <col min="7425" max="7425" width="2.44140625" style="1" customWidth="1"/>
    <col min="7426" max="7426" width="11.33203125" style="1" customWidth="1"/>
    <col min="7427" max="7427" width="61.44140625" style="1" customWidth="1"/>
    <col min="7428" max="7428" width="15.44140625" style="1" bestFit="1" customWidth="1"/>
    <col min="7429" max="7429" width="17" style="1" customWidth="1"/>
    <col min="7430" max="7430" width="17" style="1" bestFit="1" customWidth="1"/>
    <col min="7431" max="7431" width="17.6640625" style="1" bestFit="1" customWidth="1"/>
    <col min="7432" max="7432" width="17.44140625" style="1" bestFit="1" customWidth="1"/>
    <col min="7433" max="7433" width="15" style="1" bestFit="1" customWidth="1"/>
    <col min="7434" max="7434" width="6.44140625" style="1" customWidth="1"/>
    <col min="7435" max="7439" width="14.44140625" style="1" bestFit="1" customWidth="1"/>
    <col min="7440" max="7443" width="0" style="1" hidden="1" customWidth="1"/>
    <col min="7444" max="7444" width="17" style="1" bestFit="1" customWidth="1"/>
    <col min="7445" max="7448" width="0" style="1" hidden="1" customWidth="1"/>
    <col min="7449" max="7449" width="17" style="1" bestFit="1" customWidth="1"/>
    <col min="7450" max="7450" width="17.6640625" style="1" bestFit="1" customWidth="1"/>
    <col min="7451" max="7680" width="8.6640625" style="1"/>
    <col min="7681" max="7681" width="2.44140625" style="1" customWidth="1"/>
    <col min="7682" max="7682" width="11.33203125" style="1" customWidth="1"/>
    <col min="7683" max="7683" width="61.44140625" style="1" customWidth="1"/>
    <col min="7684" max="7684" width="15.44140625" style="1" bestFit="1" customWidth="1"/>
    <col min="7685" max="7685" width="17" style="1" customWidth="1"/>
    <col min="7686" max="7686" width="17" style="1" bestFit="1" customWidth="1"/>
    <col min="7687" max="7687" width="17.6640625" style="1" bestFit="1" customWidth="1"/>
    <col min="7688" max="7688" width="17.44140625" style="1" bestFit="1" customWidth="1"/>
    <col min="7689" max="7689" width="15" style="1" bestFit="1" customWidth="1"/>
    <col min="7690" max="7690" width="6.44140625" style="1" customWidth="1"/>
    <col min="7691" max="7695" width="14.44140625" style="1" bestFit="1" customWidth="1"/>
    <col min="7696" max="7699" width="0" style="1" hidden="1" customWidth="1"/>
    <col min="7700" max="7700" width="17" style="1" bestFit="1" customWidth="1"/>
    <col min="7701" max="7704" width="0" style="1" hidden="1" customWidth="1"/>
    <col min="7705" max="7705" width="17" style="1" bestFit="1" customWidth="1"/>
    <col min="7706" max="7706" width="17.6640625" style="1" bestFit="1" customWidth="1"/>
    <col min="7707" max="7936" width="8.6640625" style="1"/>
    <col min="7937" max="7937" width="2.44140625" style="1" customWidth="1"/>
    <col min="7938" max="7938" width="11.33203125" style="1" customWidth="1"/>
    <col min="7939" max="7939" width="61.44140625" style="1" customWidth="1"/>
    <col min="7940" max="7940" width="15.44140625" style="1" bestFit="1" customWidth="1"/>
    <col min="7941" max="7941" width="17" style="1" customWidth="1"/>
    <col min="7942" max="7942" width="17" style="1" bestFit="1" customWidth="1"/>
    <col min="7943" max="7943" width="17.6640625" style="1" bestFit="1" customWidth="1"/>
    <col min="7944" max="7944" width="17.44140625" style="1" bestFit="1" customWidth="1"/>
    <col min="7945" max="7945" width="15" style="1" bestFit="1" customWidth="1"/>
    <col min="7946" max="7946" width="6.44140625" style="1" customWidth="1"/>
    <col min="7947" max="7951" width="14.44140625" style="1" bestFit="1" customWidth="1"/>
    <col min="7952" max="7955" width="0" style="1" hidden="1" customWidth="1"/>
    <col min="7956" max="7956" width="17" style="1" bestFit="1" customWidth="1"/>
    <col min="7957" max="7960" width="0" style="1" hidden="1" customWidth="1"/>
    <col min="7961" max="7961" width="17" style="1" bestFit="1" customWidth="1"/>
    <col min="7962" max="7962" width="17.6640625" style="1" bestFit="1" customWidth="1"/>
    <col min="7963" max="8192" width="8.6640625" style="1"/>
    <col min="8193" max="8193" width="2.44140625" style="1" customWidth="1"/>
    <col min="8194" max="8194" width="11.33203125" style="1" customWidth="1"/>
    <col min="8195" max="8195" width="61.44140625" style="1" customWidth="1"/>
    <col min="8196" max="8196" width="15.44140625" style="1" bestFit="1" customWidth="1"/>
    <col min="8197" max="8197" width="17" style="1" customWidth="1"/>
    <col min="8198" max="8198" width="17" style="1" bestFit="1" customWidth="1"/>
    <col min="8199" max="8199" width="17.6640625" style="1" bestFit="1" customWidth="1"/>
    <col min="8200" max="8200" width="17.44140625" style="1" bestFit="1" customWidth="1"/>
    <col min="8201" max="8201" width="15" style="1" bestFit="1" customWidth="1"/>
    <col min="8202" max="8202" width="6.44140625" style="1" customWidth="1"/>
    <col min="8203" max="8207" width="14.44140625" style="1" bestFit="1" customWidth="1"/>
    <col min="8208" max="8211" width="0" style="1" hidden="1" customWidth="1"/>
    <col min="8212" max="8212" width="17" style="1" bestFit="1" customWidth="1"/>
    <col min="8213" max="8216" width="0" style="1" hidden="1" customWidth="1"/>
    <col min="8217" max="8217" width="17" style="1" bestFit="1" customWidth="1"/>
    <col min="8218" max="8218" width="17.6640625" style="1" bestFit="1" customWidth="1"/>
    <col min="8219" max="8448" width="8.6640625" style="1"/>
    <col min="8449" max="8449" width="2.44140625" style="1" customWidth="1"/>
    <col min="8450" max="8450" width="11.33203125" style="1" customWidth="1"/>
    <col min="8451" max="8451" width="61.44140625" style="1" customWidth="1"/>
    <col min="8452" max="8452" width="15.44140625" style="1" bestFit="1" customWidth="1"/>
    <col min="8453" max="8453" width="17" style="1" customWidth="1"/>
    <col min="8454" max="8454" width="17" style="1" bestFit="1" customWidth="1"/>
    <col min="8455" max="8455" width="17.6640625" style="1" bestFit="1" customWidth="1"/>
    <col min="8456" max="8456" width="17.44140625" style="1" bestFit="1" customWidth="1"/>
    <col min="8457" max="8457" width="15" style="1" bestFit="1" customWidth="1"/>
    <col min="8458" max="8458" width="6.44140625" style="1" customWidth="1"/>
    <col min="8459" max="8463" width="14.44140625" style="1" bestFit="1" customWidth="1"/>
    <col min="8464" max="8467" width="0" style="1" hidden="1" customWidth="1"/>
    <col min="8468" max="8468" width="17" style="1" bestFit="1" customWidth="1"/>
    <col min="8469" max="8472" width="0" style="1" hidden="1" customWidth="1"/>
    <col min="8473" max="8473" width="17" style="1" bestFit="1" customWidth="1"/>
    <col min="8474" max="8474" width="17.6640625" style="1" bestFit="1" customWidth="1"/>
    <col min="8475" max="8704" width="8.6640625" style="1"/>
    <col min="8705" max="8705" width="2.44140625" style="1" customWidth="1"/>
    <col min="8706" max="8706" width="11.33203125" style="1" customWidth="1"/>
    <col min="8707" max="8707" width="61.44140625" style="1" customWidth="1"/>
    <col min="8708" max="8708" width="15.44140625" style="1" bestFit="1" customWidth="1"/>
    <col min="8709" max="8709" width="17" style="1" customWidth="1"/>
    <col min="8710" max="8710" width="17" style="1" bestFit="1" customWidth="1"/>
    <col min="8711" max="8711" width="17.6640625" style="1" bestFit="1" customWidth="1"/>
    <col min="8712" max="8712" width="17.44140625" style="1" bestFit="1" customWidth="1"/>
    <col min="8713" max="8713" width="15" style="1" bestFit="1" customWidth="1"/>
    <col min="8714" max="8714" width="6.44140625" style="1" customWidth="1"/>
    <col min="8715" max="8719" width="14.44140625" style="1" bestFit="1" customWidth="1"/>
    <col min="8720" max="8723" width="0" style="1" hidden="1" customWidth="1"/>
    <col min="8724" max="8724" width="17" style="1" bestFit="1" customWidth="1"/>
    <col min="8725" max="8728" width="0" style="1" hidden="1" customWidth="1"/>
    <col min="8729" max="8729" width="17" style="1" bestFit="1" customWidth="1"/>
    <col min="8730" max="8730" width="17.6640625" style="1" bestFit="1" customWidth="1"/>
    <col min="8731" max="8960" width="8.6640625" style="1"/>
    <col min="8961" max="8961" width="2.44140625" style="1" customWidth="1"/>
    <col min="8962" max="8962" width="11.33203125" style="1" customWidth="1"/>
    <col min="8963" max="8963" width="61.44140625" style="1" customWidth="1"/>
    <col min="8964" max="8964" width="15.44140625" style="1" bestFit="1" customWidth="1"/>
    <col min="8965" max="8965" width="17" style="1" customWidth="1"/>
    <col min="8966" max="8966" width="17" style="1" bestFit="1" customWidth="1"/>
    <col min="8967" max="8967" width="17.6640625" style="1" bestFit="1" customWidth="1"/>
    <col min="8968" max="8968" width="17.44140625" style="1" bestFit="1" customWidth="1"/>
    <col min="8969" max="8969" width="15" style="1" bestFit="1" customWidth="1"/>
    <col min="8970" max="8970" width="6.44140625" style="1" customWidth="1"/>
    <col min="8971" max="8975" width="14.44140625" style="1" bestFit="1" customWidth="1"/>
    <col min="8976" max="8979" width="0" style="1" hidden="1" customWidth="1"/>
    <col min="8980" max="8980" width="17" style="1" bestFit="1" customWidth="1"/>
    <col min="8981" max="8984" width="0" style="1" hidden="1" customWidth="1"/>
    <col min="8985" max="8985" width="17" style="1" bestFit="1" customWidth="1"/>
    <col min="8986" max="8986" width="17.6640625" style="1" bestFit="1" customWidth="1"/>
    <col min="8987" max="9216" width="8.6640625" style="1"/>
    <col min="9217" max="9217" width="2.44140625" style="1" customWidth="1"/>
    <col min="9218" max="9218" width="11.33203125" style="1" customWidth="1"/>
    <col min="9219" max="9219" width="61.44140625" style="1" customWidth="1"/>
    <col min="9220" max="9220" width="15.44140625" style="1" bestFit="1" customWidth="1"/>
    <col min="9221" max="9221" width="17" style="1" customWidth="1"/>
    <col min="9222" max="9222" width="17" style="1" bestFit="1" customWidth="1"/>
    <col min="9223" max="9223" width="17.6640625" style="1" bestFit="1" customWidth="1"/>
    <col min="9224" max="9224" width="17.44140625" style="1" bestFit="1" customWidth="1"/>
    <col min="9225" max="9225" width="15" style="1" bestFit="1" customWidth="1"/>
    <col min="9226" max="9226" width="6.44140625" style="1" customWidth="1"/>
    <col min="9227" max="9231" width="14.44140625" style="1" bestFit="1" customWidth="1"/>
    <col min="9232" max="9235" width="0" style="1" hidden="1" customWidth="1"/>
    <col min="9236" max="9236" width="17" style="1" bestFit="1" customWidth="1"/>
    <col min="9237" max="9240" width="0" style="1" hidden="1" customWidth="1"/>
    <col min="9241" max="9241" width="17" style="1" bestFit="1" customWidth="1"/>
    <col min="9242" max="9242" width="17.6640625" style="1" bestFit="1" customWidth="1"/>
    <col min="9243" max="9472" width="8.6640625" style="1"/>
    <col min="9473" max="9473" width="2.44140625" style="1" customWidth="1"/>
    <col min="9474" max="9474" width="11.33203125" style="1" customWidth="1"/>
    <col min="9475" max="9475" width="61.44140625" style="1" customWidth="1"/>
    <col min="9476" max="9476" width="15.44140625" style="1" bestFit="1" customWidth="1"/>
    <col min="9477" max="9477" width="17" style="1" customWidth="1"/>
    <col min="9478" max="9478" width="17" style="1" bestFit="1" customWidth="1"/>
    <col min="9479" max="9479" width="17.6640625" style="1" bestFit="1" customWidth="1"/>
    <col min="9480" max="9480" width="17.44140625" style="1" bestFit="1" customWidth="1"/>
    <col min="9481" max="9481" width="15" style="1" bestFit="1" customWidth="1"/>
    <col min="9482" max="9482" width="6.44140625" style="1" customWidth="1"/>
    <col min="9483" max="9487" width="14.44140625" style="1" bestFit="1" customWidth="1"/>
    <col min="9488" max="9491" width="0" style="1" hidden="1" customWidth="1"/>
    <col min="9492" max="9492" width="17" style="1" bestFit="1" customWidth="1"/>
    <col min="9493" max="9496" width="0" style="1" hidden="1" customWidth="1"/>
    <col min="9497" max="9497" width="17" style="1" bestFit="1" customWidth="1"/>
    <col min="9498" max="9498" width="17.6640625" style="1" bestFit="1" customWidth="1"/>
    <col min="9499" max="9728" width="8.6640625" style="1"/>
    <col min="9729" max="9729" width="2.44140625" style="1" customWidth="1"/>
    <col min="9730" max="9730" width="11.33203125" style="1" customWidth="1"/>
    <col min="9731" max="9731" width="61.44140625" style="1" customWidth="1"/>
    <col min="9732" max="9732" width="15.44140625" style="1" bestFit="1" customWidth="1"/>
    <col min="9733" max="9733" width="17" style="1" customWidth="1"/>
    <col min="9734" max="9734" width="17" style="1" bestFit="1" customWidth="1"/>
    <col min="9735" max="9735" width="17.6640625" style="1" bestFit="1" customWidth="1"/>
    <col min="9736" max="9736" width="17.44140625" style="1" bestFit="1" customWidth="1"/>
    <col min="9737" max="9737" width="15" style="1" bestFit="1" customWidth="1"/>
    <col min="9738" max="9738" width="6.44140625" style="1" customWidth="1"/>
    <col min="9739" max="9743" width="14.44140625" style="1" bestFit="1" customWidth="1"/>
    <col min="9744" max="9747" width="0" style="1" hidden="1" customWidth="1"/>
    <col min="9748" max="9748" width="17" style="1" bestFit="1" customWidth="1"/>
    <col min="9749" max="9752" width="0" style="1" hidden="1" customWidth="1"/>
    <col min="9753" max="9753" width="17" style="1" bestFit="1" customWidth="1"/>
    <col min="9754" max="9754" width="17.6640625" style="1" bestFit="1" customWidth="1"/>
    <col min="9755" max="9984" width="8.6640625" style="1"/>
    <col min="9985" max="9985" width="2.44140625" style="1" customWidth="1"/>
    <col min="9986" max="9986" width="11.33203125" style="1" customWidth="1"/>
    <col min="9987" max="9987" width="61.44140625" style="1" customWidth="1"/>
    <col min="9988" max="9988" width="15.44140625" style="1" bestFit="1" customWidth="1"/>
    <col min="9989" max="9989" width="17" style="1" customWidth="1"/>
    <col min="9990" max="9990" width="17" style="1" bestFit="1" customWidth="1"/>
    <col min="9991" max="9991" width="17.6640625" style="1" bestFit="1" customWidth="1"/>
    <col min="9992" max="9992" width="17.44140625" style="1" bestFit="1" customWidth="1"/>
    <col min="9993" max="9993" width="15" style="1" bestFit="1" customWidth="1"/>
    <col min="9994" max="9994" width="6.44140625" style="1" customWidth="1"/>
    <col min="9995" max="9999" width="14.44140625" style="1" bestFit="1" customWidth="1"/>
    <col min="10000" max="10003" width="0" style="1" hidden="1" customWidth="1"/>
    <col min="10004" max="10004" width="17" style="1" bestFit="1" customWidth="1"/>
    <col min="10005" max="10008" width="0" style="1" hidden="1" customWidth="1"/>
    <col min="10009" max="10009" width="17" style="1" bestFit="1" customWidth="1"/>
    <col min="10010" max="10010" width="17.6640625" style="1" bestFit="1" customWidth="1"/>
    <col min="10011" max="10240" width="8.6640625" style="1"/>
    <col min="10241" max="10241" width="2.44140625" style="1" customWidth="1"/>
    <col min="10242" max="10242" width="11.33203125" style="1" customWidth="1"/>
    <col min="10243" max="10243" width="61.44140625" style="1" customWidth="1"/>
    <col min="10244" max="10244" width="15.44140625" style="1" bestFit="1" customWidth="1"/>
    <col min="10245" max="10245" width="17" style="1" customWidth="1"/>
    <col min="10246" max="10246" width="17" style="1" bestFit="1" customWidth="1"/>
    <col min="10247" max="10247" width="17.6640625" style="1" bestFit="1" customWidth="1"/>
    <col min="10248" max="10248" width="17.44140625" style="1" bestFit="1" customWidth="1"/>
    <col min="10249" max="10249" width="15" style="1" bestFit="1" customWidth="1"/>
    <col min="10250" max="10250" width="6.44140625" style="1" customWidth="1"/>
    <col min="10251" max="10255" width="14.44140625" style="1" bestFit="1" customWidth="1"/>
    <col min="10256" max="10259" width="0" style="1" hidden="1" customWidth="1"/>
    <col min="10260" max="10260" width="17" style="1" bestFit="1" customWidth="1"/>
    <col min="10261" max="10264" width="0" style="1" hidden="1" customWidth="1"/>
    <col min="10265" max="10265" width="17" style="1" bestFit="1" customWidth="1"/>
    <col min="10266" max="10266" width="17.6640625" style="1" bestFit="1" customWidth="1"/>
    <col min="10267" max="10496" width="8.6640625" style="1"/>
    <col min="10497" max="10497" width="2.44140625" style="1" customWidth="1"/>
    <col min="10498" max="10498" width="11.33203125" style="1" customWidth="1"/>
    <col min="10499" max="10499" width="61.44140625" style="1" customWidth="1"/>
    <col min="10500" max="10500" width="15.44140625" style="1" bestFit="1" customWidth="1"/>
    <col min="10501" max="10501" width="17" style="1" customWidth="1"/>
    <col min="10502" max="10502" width="17" style="1" bestFit="1" customWidth="1"/>
    <col min="10503" max="10503" width="17.6640625" style="1" bestFit="1" customWidth="1"/>
    <col min="10504" max="10504" width="17.44140625" style="1" bestFit="1" customWidth="1"/>
    <col min="10505" max="10505" width="15" style="1" bestFit="1" customWidth="1"/>
    <col min="10506" max="10506" width="6.44140625" style="1" customWidth="1"/>
    <col min="10507" max="10511" width="14.44140625" style="1" bestFit="1" customWidth="1"/>
    <col min="10512" max="10515" width="0" style="1" hidden="1" customWidth="1"/>
    <col min="10516" max="10516" width="17" style="1" bestFit="1" customWidth="1"/>
    <col min="10517" max="10520" width="0" style="1" hidden="1" customWidth="1"/>
    <col min="10521" max="10521" width="17" style="1" bestFit="1" customWidth="1"/>
    <col min="10522" max="10522" width="17.6640625" style="1" bestFit="1" customWidth="1"/>
    <col min="10523" max="10752" width="8.6640625" style="1"/>
    <col min="10753" max="10753" width="2.44140625" style="1" customWidth="1"/>
    <col min="10754" max="10754" width="11.33203125" style="1" customWidth="1"/>
    <col min="10755" max="10755" width="61.44140625" style="1" customWidth="1"/>
    <col min="10756" max="10756" width="15.44140625" style="1" bestFit="1" customWidth="1"/>
    <col min="10757" max="10757" width="17" style="1" customWidth="1"/>
    <col min="10758" max="10758" width="17" style="1" bestFit="1" customWidth="1"/>
    <col min="10759" max="10759" width="17.6640625" style="1" bestFit="1" customWidth="1"/>
    <col min="10760" max="10760" width="17.44140625" style="1" bestFit="1" customWidth="1"/>
    <col min="10761" max="10761" width="15" style="1" bestFit="1" customWidth="1"/>
    <col min="10762" max="10762" width="6.44140625" style="1" customWidth="1"/>
    <col min="10763" max="10767" width="14.44140625" style="1" bestFit="1" customWidth="1"/>
    <col min="10768" max="10771" width="0" style="1" hidden="1" customWidth="1"/>
    <col min="10772" max="10772" width="17" style="1" bestFit="1" customWidth="1"/>
    <col min="10773" max="10776" width="0" style="1" hidden="1" customWidth="1"/>
    <col min="10777" max="10777" width="17" style="1" bestFit="1" customWidth="1"/>
    <col min="10778" max="10778" width="17.6640625" style="1" bestFit="1" customWidth="1"/>
    <col min="10779" max="11008" width="8.6640625" style="1"/>
    <col min="11009" max="11009" width="2.44140625" style="1" customWidth="1"/>
    <col min="11010" max="11010" width="11.33203125" style="1" customWidth="1"/>
    <col min="11011" max="11011" width="61.44140625" style="1" customWidth="1"/>
    <col min="11012" max="11012" width="15.44140625" style="1" bestFit="1" customWidth="1"/>
    <col min="11013" max="11013" width="17" style="1" customWidth="1"/>
    <col min="11014" max="11014" width="17" style="1" bestFit="1" customWidth="1"/>
    <col min="11015" max="11015" width="17.6640625" style="1" bestFit="1" customWidth="1"/>
    <col min="11016" max="11016" width="17.44140625" style="1" bestFit="1" customWidth="1"/>
    <col min="11017" max="11017" width="15" style="1" bestFit="1" customWidth="1"/>
    <col min="11018" max="11018" width="6.44140625" style="1" customWidth="1"/>
    <col min="11019" max="11023" width="14.44140625" style="1" bestFit="1" customWidth="1"/>
    <col min="11024" max="11027" width="0" style="1" hidden="1" customWidth="1"/>
    <col min="11028" max="11028" width="17" style="1" bestFit="1" customWidth="1"/>
    <col min="11029" max="11032" width="0" style="1" hidden="1" customWidth="1"/>
    <col min="11033" max="11033" width="17" style="1" bestFit="1" customWidth="1"/>
    <col min="11034" max="11034" width="17.6640625" style="1" bestFit="1" customWidth="1"/>
    <col min="11035" max="11264" width="8.6640625" style="1"/>
    <col min="11265" max="11265" width="2.44140625" style="1" customWidth="1"/>
    <col min="11266" max="11266" width="11.33203125" style="1" customWidth="1"/>
    <col min="11267" max="11267" width="61.44140625" style="1" customWidth="1"/>
    <col min="11268" max="11268" width="15.44140625" style="1" bestFit="1" customWidth="1"/>
    <col min="11269" max="11269" width="17" style="1" customWidth="1"/>
    <col min="11270" max="11270" width="17" style="1" bestFit="1" customWidth="1"/>
    <col min="11271" max="11271" width="17.6640625" style="1" bestFit="1" customWidth="1"/>
    <col min="11272" max="11272" width="17.44140625" style="1" bestFit="1" customWidth="1"/>
    <col min="11273" max="11273" width="15" style="1" bestFit="1" customWidth="1"/>
    <col min="11274" max="11274" width="6.44140625" style="1" customWidth="1"/>
    <col min="11275" max="11279" width="14.44140625" style="1" bestFit="1" customWidth="1"/>
    <col min="11280" max="11283" width="0" style="1" hidden="1" customWidth="1"/>
    <col min="11284" max="11284" width="17" style="1" bestFit="1" customWidth="1"/>
    <col min="11285" max="11288" width="0" style="1" hidden="1" customWidth="1"/>
    <col min="11289" max="11289" width="17" style="1" bestFit="1" customWidth="1"/>
    <col min="11290" max="11290" width="17.6640625" style="1" bestFit="1" customWidth="1"/>
    <col min="11291" max="11520" width="8.6640625" style="1"/>
    <col min="11521" max="11521" width="2.44140625" style="1" customWidth="1"/>
    <col min="11522" max="11522" width="11.33203125" style="1" customWidth="1"/>
    <col min="11523" max="11523" width="61.44140625" style="1" customWidth="1"/>
    <col min="11524" max="11524" width="15.44140625" style="1" bestFit="1" customWidth="1"/>
    <col min="11525" max="11525" width="17" style="1" customWidth="1"/>
    <col min="11526" max="11526" width="17" style="1" bestFit="1" customWidth="1"/>
    <col min="11527" max="11527" width="17.6640625" style="1" bestFit="1" customWidth="1"/>
    <col min="11528" max="11528" width="17.44140625" style="1" bestFit="1" customWidth="1"/>
    <col min="11529" max="11529" width="15" style="1" bestFit="1" customWidth="1"/>
    <col min="11530" max="11530" width="6.44140625" style="1" customWidth="1"/>
    <col min="11531" max="11535" width="14.44140625" style="1" bestFit="1" customWidth="1"/>
    <col min="11536" max="11539" width="0" style="1" hidden="1" customWidth="1"/>
    <col min="11540" max="11540" width="17" style="1" bestFit="1" customWidth="1"/>
    <col min="11541" max="11544" width="0" style="1" hidden="1" customWidth="1"/>
    <col min="11545" max="11545" width="17" style="1" bestFit="1" customWidth="1"/>
    <col min="11546" max="11546" width="17.6640625" style="1" bestFit="1" customWidth="1"/>
    <col min="11547" max="11776" width="8.6640625" style="1"/>
    <col min="11777" max="11777" width="2.44140625" style="1" customWidth="1"/>
    <col min="11778" max="11778" width="11.33203125" style="1" customWidth="1"/>
    <col min="11779" max="11779" width="61.44140625" style="1" customWidth="1"/>
    <col min="11780" max="11780" width="15.44140625" style="1" bestFit="1" customWidth="1"/>
    <col min="11781" max="11781" width="17" style="1" customWidth="1"/>
    <col min="11782" max="11782" width="17" style="1" bestFit="1" customWidth="1"/>
    <col min="11783" max="11783" width="17.6640625" style="1" bestFit="1" customWidth="1"/>
    <col min="11784" max="11784" width="17.44140625" style="1" bestFit="1" customWidth="1"/>
    <col min="11785" max="11785" width="15" style="1" bestFit="1" customWidth="1"/>
    <col min="11786" max="11786" width="6.44140625" style="1" customWidth="1"/>
    <col min="11787" max="11791" width="14.44140625" style="1" bestFit="1" customWidth="1"/>
    <col min="11792" max="11795" width="0" style="1" hidden="1" customWidth="1"/>
    <col min="11796" max="11796" width="17" style="1" bestFit="1" customWidth="1"/>
    <col min="11797" max="11800" width="0" style="1" hidden="1" customWidth="1"/>
    <col min="11801" max="11801" width="17" style="1" bestFit="1" customWidth="1"/>
    <col min="11802" max="11802" width="17.6640625" style="1" bestFit="1" customWidth="1"/>
    <col min="11803" max="12032" width="8.6640625" style="1"/>
    <col min="12033" max="12033" width="2.44140625" style="1" customWidth="1"/>
    <col min="12034" max="12034" width="11.33203125" style="1" customWidth="1"/>
    <col min="12035" max="12035" width="61.44140625" style="1" customWidth="1"/>
    <col min="12036" max="12036" width="15.44140625" style="1" bestFit="1" customWidth="1"/>
    <col min="12037" max="12037" width="17" style="1" customWidth="1"/>
    <col min="12038" max="12038" width="17" style="1" bestFit="1" customWidth="1"/>
    <col min="12039" max="12039" width="17.6640625" style="1" bestFit="1" customWidth="1"/>
    <col min="12040" max="12040" width="17.44140625" style="1" bestFit="1" customWidth="1"/>
    <col min="12041" max="12041" width="15" style="1" bestFit="1" customWidth="1"/>
    <col min="12042" max="12042" width="6.44140625" style="1" customWidth="1"/>
    <col min="12043" max="12047" width="14.44140625" style="1" bestFit="1" customWidth="1"/>
    <col min="12048" max="12051" width="0" style="1" hidden="1" customWidth="1"/>
    <col min="12052" max="12052" width="17" style="1" bestFit="1" customWidth="1"/>
    <col min="12053" max="12056" width="0" style="1" hidden="1" customWidth="1"/>
    <col min="12057" max="12057" width="17" style="1" bestFit="1" customWidth="1"/>
    <col min="12058" max="12058" width="17.6640625" style="1" bestFit="1" customWidth="1"/>
    <col min="12059" max="12288" width="8.6640625" style="1"/>
    <col min="12289" max="12289" width="2.44140625" style="1" customWidth="1"/>
    <col min="12290" max="12290" width="11.33203125" style="1" customWidth="1"/>
    <col min="12291" max="12291" width="61.44140625" style="1" customWidth="1"/>
    <col min="12292" max="12292" width="15.44140625" style="1" bestFit="1" customWidth="1"/>
    <col min="12293" max="12293" width="17" style="1" customWidth="1"/>
    <col min="12294" max="12294" width="17" style="1" bestFit="1" customWidth="1"/>
    <col min="12295" max="12295" width="17.6640625" style="1" bestFit="1" customWidth="1"/>
    <col min="12296" max="12296" width="17.44140625" style="1" bestFit="1" customWidth="1"/>
    <col min="12297" max="12297" width="15" style="1" bestFit="1" customWidth="1"/>
    <col min="12298" max="12298" width="6.44140625" style="1" customWidth="1"/>
    <col min="12299" max="12303" width="14.44140625" style="1" bestFit="1" customWidth="1"/>
    <col min="12304" max="12307" width="0" style="1" hidden="1" customWidth="1"/>
    <col min="12308" max="12308" width="17" style="1" bestFit="1" customWidth="1"/>
    <col min="12309" max="12312" width="0" style="1" hidden="1" customWidth="1"/>
    <col min="12313" max="12313" width="17" style="1" bestFit="1" customWidth="1"/>
    <col min="12314" max="12314" width="17.6640625" style="1" bestFit="1" customWidth="1"/>
    <col min="12315" max="12544" width="8.6640625" style="1"/>
    <col min="12545" max="12545" width="2.44140625" style="1" customWidth="1"/>
    <col min="12546" max="12546" width="11.33203125" style="1" customWidth="1"/>
    <col min="12547" max="12547" width="61.44140625" style="1" customWidth="1"/>
    <col min="12548" max="12548" width="15.44140625" style="1" bestFit="1" customWidth="1"/>
    <col min="12549" max="12549" width="17" style="1" customWidth="1"/>
    <col min="12550" max="12550" width="17" style="1" bestFit="1" customWidth="1"/>
    <col min="12551" max="12551" width="17.6640625" style="1" bestFit="1" customWidth="1"/>
    <col min="12552" max="12552" width="17.44140625" style="1" bestFit="1" customWidth="1"/>
    <col min="12553" max="12553" width="15" style="1" bestFit="1" customWidth="1"/>
    <col min="12554" max="12554" width="6.44140625" style="1" customWidth="1"/>
    <col min="12555" max="12559" width="14.44140625" style="1" bestFit="1" customWidth="1"/>
    <col min="12560" max="12563" width="0" style="1" hidden="1" customWidth="1"/>
    <col min="12564" max="12564" width="17" style="1" bestFit="1" customWidth="1"/>
    <col min="12565" max="12568" width="0" style="1" hidden="1" customWidth="1"/>
    <col min="12569" max="12569" width="17" style="1" bestFit="1" customWidth="1"/>
    <col min="12570" max="12570" width="17.6640625" style="1" bestFit="1" customWidth="1"/>
    <col min="12571" max="12800" width="8.6640625" style="1"/>
    <col min="12801" max="12801" width="2.44140625" style="1" customWidth="1"/>
    <col min="12802" max="12802" width="11.33203125" style="1" customWidth="1"/>
    <col min="12803" max="12803" width="61.44140625" style="1" customWidth="1"/>
    <col min="12804" max="12804" width="15.44140625" style="1" bestFit="1" customWidth="1"/>
    <col min="12805" max="12805" width="17" style="1" customWidth="1"/>
    <col min="12806" max="12806" width="17" style="1" bestFit="1" customWidth="1"/>
    <col min="12807" max="12807" width="17.6640625" style="1" bestFit="1" customWidth="1"/>
    <col min="12808" max="12808" width="17.44140625" style="1" bestFit="1" customWidth="1"/>
    <col min="12809" max="12809" width="15" style="1" bestFit="1" customWidth="1"/>
    <col min="12810" max="12810" width="6.44140625" style="1" customWidth="1"/>
    <col min="12811" max="12815" width="14.44140625" style="1" bestFit="1" customWidth="1"/>
    <col min="12816" max="12819" width="0" style="1" hidden="1" customWidth="1"/>
    <col min="12820" max="12820" width="17" style="1" bestFit="1" customWidth="1"/>
    <col min="12821" max="12824" width="0" style="1" hidden="1" customWidth="1"/>
    <col min="12825" max="12825" width="17" style="1" bestFit="1" customWidth="1"/>
    <col min="12826" max="12826" width="17.6640625" style="1" bestFit="1" customWidth="1"/>
    <col min="12827" max="13056" width="8.6640625" style="1"/>
    <col min="13057" max="13057" width="2.44140625" style="1" customWidth="1"/>
    <col min="13058" max="13058" width="11.33203125" style="1" customWidth="1"/>
    <col min="13059" max="13059" width="61.44140625" style="1" customWidth="1"/>
    <col min="13060" max="13060" width="15.44140625" style="1" bestFit="1" customWidth="1"/>
    <col min="13061" max="13061" width="17" style="1" customWidth="1"/>
    <col min="13062" max="13062" width="17" style="1" bestFit="1" customWidth="1"/>
    <col min="13063" max="13063" width="17.6640625" style="1" bestFit="1" customWidth="1"/>
    <col min="13064" max="13064" width="17.44140625" style="1" bestFit="1" customWidth="1"/>
    <col min="13065" max="13065" width="15" style="1" bestFit="1" customWidth="1"/>
    <col min="13066" max="13066" width="6.44140625" style="1" customWidth="1"/>
    <col min="13067" max="13071" width="14.44140625" style="1" bestFit="1" customWidth="1"/>
    <col min="13072" max="13075" width="0" style="1" hidden="1" customWidth="1"/>
    <col min="13076" max="13076" width="17" style="1" bestFit="1" customWidth="1"/>
    <col min="13077" max="13080" width="0" style="1" hidden="1" customWidth="1"/>
    <col min="13081" max="13081" width="17" style="1" bestFit="1" customWidth="1"/>
    <col min="13082" max="13082" width="17.6640625" style="1" bestFit="1" customWidth="1"/>
    <col min="13083" max="13312" width="8.6640625" style="1"/>
    <col min="13313" max="13313" width="2.44140625" style="1" customWidth="1"/>
    <col min="13314" max="13314" width="11.33203125" style="1" customWidth="1"/>
    <col min="13315" max="13315" width="61.44140625" style="1" customWidth="1"/>
    <col min="13316" max="13316" width="15.44140625" style="1" bestFit="1" customWidth="1"/>
    <col min="13317" max="13317" width="17" style="1" customWidth="1"/>
    <col min="13318" max="13318" width="17" style="1" bestFit="1" customWidth="1"/>
    <col min="13319" max="13319" width="17.6640625" style="1" bestFit="1" customWidth="1"/>
    <col min="13320" max="13320" width="17.44140625" style="1" bestFit="1" customWidth="1"/>
    <col min="13321" max="13321" width="15" style="1" bestFit="1" customWidth="1"/>
    <col min="13322" max="13322" width="6.44140625" style="1" customWidth="1"/>
    <col min="13323" max="13327" width="14.44140625" style="1" bestFit="1" customWidth="1"/>
    <col min="13328" max="13331" width="0" style="1" hidden="1" customWidth="1"/>
    <col min="13332" max="13332" width="17" style="1" bestFit="1" customWidth="1"/>
    <col min="13333" max="13336" width="0" style="1" hidden="1" customWidth="1"/>
    <col min="13337" max="13337" width="17" style="1" bestFit="1" customWidth="1"/>
    <col min="13338" max="13338" width="17.6640625" style="1" bestFit="1" customWidth="1"/>
    <col min="13339" max="13568" width="8.6640625" style="1"/>
    <col min="13569" max="13569" width="2.44140625" style="1" customWidth="1"/>
    <col min="13570" max="13570" width="11.33203125" style="1" customWidth="1"/>
    <col min="13571" max="13571" width="61.44140625" style="1" customWidth="1"/>
    <col min="13572" max="13572" width="15.44140625" style="1" bestFit="1" customWidth="1"/>
    <col min="13573" max="13573" width="17" style="1" customWidth="1"/>
    <col min="13574" max="13574" width="17" style="1" bestFit="1" customWidth="1"/>
    <col min="13575" max="13575" width="17.6640625" style="1" bestFit="1" customWidth="1"/>
    <col min="13576" max="13576" width="17.44140625" style="1" bestFit="1" customWidth="1"/>
    <col min="13577" max="13577" width="15" style="1" bestFit="1" customWidth="1"/>
    <col min="13578" max="13578" width="6.44140625" style="1" customWidth="1"/>
    <col min="13579" max="13583" width="14.44140625" style="1" bestFit="1" customWidth="1"/>
    <col min="13584" max="13587" width="0" style="1" hidden="1" customWidth="1"/>
    <col min="13588" max="13588" width="17" style="1" bestFit="1" customWidth="1"/>
    <col min="13589" max="13592" width="0" style="1" hidden="1" customWidth="1"/>
    <col min="13593" max="13593" width="17" style="1" bestFit="1" customWidth="1"/>
    <col min="13594" max="13594" width="17.6640625" style="1" bestFit="1" customWidth="1"/>
    <col min="13595" max="13824" width="8.6640625" style="1"/>
    <col min="13825" max="13825" width="2.44140625" style="1" customWidth="1"/>
    <col min="13826" max="13826" width="11.33203125" style="1" customWidth="1"/>
    <col min="13827" max="13827" width="61.44140625" style="1" customWidth="1"/>
    <col min="13828" max="13828" width="15.44140625" style="1" bestFit="1" customWidth="1"/>
    <col min="13829" max="13829" width="17" style="1" customWidth="1"/>
    <col min="13830" max="13830" width="17" style="1" bestFit="1" customWidth="1"/>
    <col min="13831" max="13831" width="17.6640625" style="1" bestFit="1" customWidth="1"/>
    <col min="13832" max="13832" width="17.44140625" style="1" bestFit="1" customWidth="1"/>
    <col min="13833" max="13833" width="15" style="1" bestFit="1" customWidth="1"/>
    <col min="13834" max="13834" width="6.44140625" style="1" customWidth="1"/>
    <col min="13835" max="13839" width="14.44140625" style="1" bestFit="1" customWidth="1"/>
    <col min="13840" max="13843" width="0" style="1" hidden="1" customWidth="1"/>
    <col min="13844" max="13844" width="17" style="1" bestFit="1" customWidth="1"/>
    <col min="13845" max="13848" width="0" style="1" hidden="1" customWidth="1"/>
    <col min="13849" max="13849" width="17" style="1" bestFit="1" customWidth="1"/>
    <col min="13850" max="13850" width="17.6640625" style="1" bestFit="1" customWidth="1"/>
    <col min="13851" max="14080" width="8.6640625" style="1"/>
    <col min="14081" max="14081" width="2.44140625" style="1" customWidth="1"/>
    <col min="14082" max="14082" width="11.33203125" style="1" customWidth="1"/>
    <col min="14083" max="14083" width="61.44140625" style="1" customWidth="1"/>
    <col min="14084" max="14084" width="15.44140625" style="1" bestFit="1" customWidth="1"/>
    <col min="14085" max="14085" width="17" style="1" customWidth="1"/>
    <col min="14086" max="14086" width="17" style="1" bestFit="1" customWidth="1"/>
    <col min="14087" max="14087" width="17.6640625" style="1" bestFit="1" customWidth="1"/>
    <col min="14088" max="14088" width="17.44140625" style="1" bestFit="1" customWidth="1"/>
    <col min="14089" max="14089" width="15" style="1" bestFit="1" customWidth="1"/>
    <col min="14090" max="14090" width="6.44140625" style="1" customWidth="1"/>
    <col min="14091" max="14095" width="14.44140625" style="1" bestFit="1" customWidth="1"/>
    <col min="14096" max="14099" width="0" style="1" hidden="1" customWidth="1"/>
    <col min="14100" max="14100" width="17" style="1" bestFit="1" customWidth="1"/>
    <col min="14101" max="14104" width="0" style="1" hidden="1" customWidth="1"/>
    <col min="14105" max="14105" width="17" style="1" bestFit="1" customWidth="1"/>
    <col min="14106" max="14106" width="17.6640625" style="1" bestFit="1" customWidth="1"/>
    <col min="14107" max="14336" width="8.6640625" style="1"/>
    <col min="14337" max="14337" width="2.44140625" style="1" customWidth="1"/>
    <col min="14338" max="14338" width="11.33203125" style="1" customWidth="1"/>
    <col min="14339" max="14339" width="61.44140625" style="1" customWidth="1"/>
    <col min="14340" max="14340" width="15.44140625" style="1" bestFit="1" customWidth="1"/>
    <col min="14341" max="14341" width="17" style="1" customWidth="1"/>
    <col min="14342" max="14342" width="17" style="1" bestFit="1" customWidth="1"/>
    <col min="14343" max="14343" width="17.6640625" style="1" bestFit="1" customWidth="1"/>
    <col min="14344" max="14344" width="17.44140625" style="1" bestFit="1" customWidth="1"/>
    <col min="14345" max="14345" width="15" style="1" bestFit="1" customWidth="1"/>
    <col min="14346" max="14346" width="6.44140625" style="1" customWidth="1"/>
    <col min="14347" max="14351" width="14.44140625" style="1" bestFit="1" customWidth="1"/>
    <col min="14352" max="14355" width="0" style="1" hidden="1" customWidth="1"/>
    <col min="14356" max="14356" width="17" style="1" bestFit="1" customWidth="1"/>
    <col min="14357" max="14360" width="0" style="1" hidden="1" customWidth="1"/>
    <col min="14361" max="14361" width="17" style="1" bestFit="1" customWidth="1"/>
    <col min="14362" max="14362" width="17.6640625" style="1" bestFit="1" customWidth="1"/>
    <col min="14363" max="14592" width="8.6640625" style="1"/>
    <col min="14593" max="14593" width="2.44140625" style="1" customWidth="1"/>
    <col min="14594" max="14594" width="11.33203125" style="1" customWidth="1"/>
    <col min="14595" max="14595" width="61.44140625" style="1" customWidth="1"/>
    <col min="14596" max="14596" width="15.44140625" style="1" bestFit="1" customWidth="1"/>
    <col min="14597" max="14597" width="17" style="1" customWidth="1"/>
    <col min="14598" max="14598" width="17" style="1" bestFit="1" customWidth="1"/>
    <col min="14599" max="14599" width="17.6640625" style="1" bestFit="1" customWidth="1"/>
    <col min="14600" max="14600" width="17.44140625" style="1" bestFit="1" customWidth="1"/>
    <col min="14601" max="14601" width="15" style="1" bestFit="1" customWidth="1"/>
    <col min="14602" max="14602" width="6.44140625" style="1" customWidth="1"/>
    <col min="14603" max="14607" width="14.44140625" style="1" bestFit="1" customWidth="1"/>
    <col min="14608" max="14611" width="0" style="1" hidden="1" customWidth="1"/>
    <col min="14612" max="14612" width="17" style="1" bestFit="1" customWidth="1"/>
    <col min="14613" max="14616" width="0" style="1" hidden="1" customWidth="1"/>
    <col min="14617" max="14617" width="17" style="1" bestFit="1" customWidth="1"/>
    <col min="14618" max="14618" width="17.6640625" style="1" bestFit="1" customWidth="1"/>
    <col min="14619" max="14848" width="8.6640625" style="1"/>
    <col min="14849" max="14849" width="2.44140625" style="1" customWidth="1"/>
    <col min="14850" max="14850" width="11.33203125" style="1" customWidth="1"/>
    <col min="14851" max="14851" width="61.44140625" style="1" customWidth="1"/>
    <col min="14852" max="14852" width="15.44140625" style="1" bestFit="1" customWidth="1"/>
    <col min="14853" max="14853" width="17" style="1" customWidth="1"/>
    <col min="14854" max="14854" width="17" style="1" bestFit="1" customWidth="1"/>
    <col min="14855" max="14855" width="17.6640625" style="1" bestFit="1" customWidth="1"/>
    <col min="14856" max="14856" width="17.44140625" style="1" bestFit="1" customWidth="1"/>
    <col min="14857" max="14857" width="15" style="1" bestFit="1" customWidth="1"/>
    <col min="14858" max="14858" width="6.44140625" style="1" customWidth="1"/>
    <col min="14859" max="14863" width="14.44140625" style="1" bestFit="1" customWidth="1"/>
    <col min="14864" max="14867" width="0" style="1" hidden="1" customWidth="1"/>
    <col min="14868" max="14868" width="17" style="1" bestFit="1" customWidth="1"/>
    <col min="14869" max="14872" width="0" style="1" hidden="1" customWidth="1"/>
    <col min="14873" max="14873" width="17" style="1" bestFit="1" customWidth="1"/>
    <col min="14874" max="14874" width="17.6640625" style="1" bestFit="1" customWidth="1"/>
    <col min="14875" max="15104" width="8.6640625" style="1"/>
    <col min="15105" max="15105" width="2.44140625" style="1" customWidth="1"/>
    <col min="15106" max="15106" width="11.33203125" style="1" customWidth="1"/>
    <col min="15107" max="15107" width="61.44140625" style="1" customWidth="1"/>
    <col min="15108" max="15108" width="15.44140625" style="1" bestFit="1" customWidth="1"/>
    <col min="15109" max="15109" width="17" style="1" customWidth="1"/>
    <col min="15110" max="15110" width="17" style="1" bestFit="1" customWidth="1"/>
    <col min="15111" max="15111" width="17.6640625" style="1" bestFit="1" customWidth="1"/>
    <col min="15112" max="15112" width="17.44140625" style="1" bestFit="1" customWidth="1"/>
    <col min="15113" max="15113" width="15" style="1" bestFit="1" customWidth="1"/>
    <col min="15114" max="15114" width="6.44140625" style="1" customWidth="1"/>
    <col min="15115" max="15119" width="14.44140625" style="1" bestFit="1" customWidth="1"/>
    <col min="15120" max="15123" width="0" style="1" hidden="1" customWidth="1"/>
    <col min="15124" max="15124" width="17" style="1" bestFit="1" customWidth="1"/>
    <col min="15125" max="15128" width="0" style="1" hidden="1" customWidth="1"/>
    <col min="15129" max="15129" width="17" style="1" bestFit="1" customWidth="1"/>
    <col min="15130" max="15130" width="17.6640625" style="1" bestFit="1" customWidth="1"/>
    <col min="15131" max="15360" width="8.6640625" style="1"/>
    <col min="15361" max="15361" width="2.44140625" style="1" customWidth="1"/>
    <col min="15362" max="15362" width="11.33203125" style="1" customWidth="1"/>
    <col min="15363" max="15363" width="61.44140625" style="1" customWidth="1"/>
    <col min="15364" max="15364" width="15.44140625" style="1" bestFit="1" customWidth="1"/>
    <col min="15365" max="15365" width="17" style="1" customWidth="1"/>
    <col min="15366" max="15366" width="17" style="1" bestFit="1" customWidth="1"/>
    <col min="15367" max="15367" width="17.6640625" style="1" bestFit="1" customWidth="1"/>
    <col min="15368" max="15368" width="17.44140625" style="1" bestFit="1" customWidth="1"/>
    <col min="15369" max="15369" width="15" style="1" bestFit="1" customWidth="1"/>
    <col min="15370" max="15370" width="6.44140625" style="1" customWidth="1"/>
    <col min="15371" max="15375" width="14.44140625" style="1" bestFit="1" customWidth="1"/>
    <col min="15376" max="15379" width="0" style="1" hidden="1" customWidth="1"/>
    <col min="15380" max="15380" width="17" style="1" bestFit="1" customWidth="1"/>
    <col min="15381" max="15384" width="0" style="1" hidden="1" customWidth="1"/>
    <col min="15385" max="15385" width="17" style="1" bestFit="1" customWidth="1"/>
    <col min="15386" max="15386" width="17.6640625" style="1" bestFit="1" customWidth="1"/>
    <col min="15387" max="15616" width="8.6640625" style="1"/>
    <col min="15617" max="15617" width="2.44140625" style="1" customWidth="1"/>
    <col min="15618" max="15618" width="11.33203125" style="1" customWidth="1"/>
    <col min="15619" max="15619" width="61.44140625" style="1" customWidth="1"/>
    <col min="15620" max="15620" width="15.44140625" style="1" bestFit="1" customWidth="1"/>
    <col min="15621" max="15621" width="17" style="1" customWidth="1"/>
    <col min="15622" max="15622" width="17" style="1" bestFit="1" customWidth="1"/>
    <col min="15623" max="15623" width="17.6640625" style="1" bestFit="1" customWidth="1"/>
    <col min="15624" max="15624" width="17.44140625" style="1" bestFit="1" customWidth="1"/>
    <col min="15625" max="15625" width="15" style="1" bestFit="1" customWidth="1"/>
    <col min="15626" max="15626" width="6.44140625" style="1" customWidth="1"/>
    <col min="15627" max="15631" width="14.44140625" style="1" bestFit="1" customWidth="1"/>
    <col min="15632" max="15635" width="0" style="1" hidden="1" customWidth="1"/>
    <col min="15636" max="15636" width="17" style="1" bestFit="1" customWidth="1"/>
    <col min="15637" max="15640" width="0" style="1" hidden="1" customWidth="1"/>
    <col min="15641" max="15641" width="17" style="1" bestFit="1" customWidth="1"/>
    <col min="15642" max="15642" width="17.6640625" style="1" bestFit="1" customWidth="1"/>
    <col min="15643" max="15872" width="8.6640625" style="1"/>
    <col min="15873" max="15873" width="2.44140625" style="1" customWidth="1"/>
    <col min="15874" max="15874" width="11.33203125" style="1" customWidth="1"/>
    <col min="15875" max="15875" width="61.44140625" style="1" customWidth="1"/>
    <col min="15876" max="15876" width="15.44140625" style="1" bestFit="1" customWidth="1"/>
    <col min="15877" max="15877" width="17" style="1" customWidth="1"/>
    <col min="15878" max="15878" width="17" style="1" bestFit="1" customWidth="1"/>
    <col min="15879" max="15879" width="17.6640625" style="1" bestFit="1" customWidth="1"/>
    <col min="15880" max="15880" width="17.44140625" style="1" bestFit="1" customWidth="1"/>
    <col min="15881" max="15881" width="15" style="1" bestFit="1" customWidth="1"/>
    <col min="15882" max="15882" width="6.44140625" style="1" customWidth="1"/>
    <col min="15883" max="15887" width="14.44140625" style="1" bestFit="1" customWidth="1"/>
    <col min="15888" max="15891" width="0" style="1" hidden="1" customWidth="1"/>
    <col min="15892" max="15892" width="17" style="1" bestFit="1" customWidth="1"/>
    <col min="15893" max="15896" width="0" style="1" hidden="1" customWidth="1"/>
    <col min="15897" max="15897" width="17" style="1" bestFit="1" customWidth="1"/>
    <col min="15898" max="15898" width="17.6640625" style="1" bestFit="1" customWidth="1"/>
    <col min="15899" max="16128" width="8.6640625" style="1"/>
    <col min="16129" max="16129" width="2.44140625" style="1" customWidth="1"/>
    <col min="16130" max="16130" width="11.33203125" style="1" customWidth="1"/>
    <col min="16131" max="16131" width="61.44140625" style="1" customWidth="1"/>
    <col min="16132" max="16132" width="15.44140625" style="1" bestFit="1" customWidth="1"/>
    <col min="16133" max="16133" width="17" style="1" customWidth="1"/>
    <col min="16134" max="16134" width="17" style="1" bestFit="1" customWidth="1"/>
    <col min="16135" max="16135" width="17.6640625" style="1" bestFit="1" customWidth="1"/>
    <col min="16136" max="16136" width="17.44140625" style="1" bestFit="1" customWidth="1"/>
    <col min="16137" max="16137" width="15" style="1" bestFit="1" customWidth="1"/>
    <col min="16138" max="16138" width="6.44140625" style="1" customWidth="1"/>
    <col min="16139" max="16143" width="14.44140625" style="1" bestFit="1" customWidth="1"/>
    <col min="16144" max="16147" width="0" style="1" hidden="1" customWidth="1"/>
    <col min="16148" max="16148" width="17" style="1" bestFit="1" customWidth="1"/>
    <col min="16149" max="16152" width="0" style="1" hidden="1" customWidth="1"/>
    <col min="16153" max="16153" width="17" style="1" bestFit="1" customWidth="1"/>
    <col min="16154" max="16154" width="17.6640625" style="1" bestFit="1" customWidth="1"/>
    <col min="16155" max="16384" width="8.6640625" style="1"/>
  </cols>
  <sheetData>
    <row r="4" spans="2:26" ht="26.25" customHeight="1" x14ac:dyDescent="0.3">
      <c r="B4" s="48">
        <v>5.3</v>
      </c>
      <c r="C4" s="65" t="s">
        <v>118</v>
      </c>
      <c r="D4" s="62" t="s">
        <v>26</v>
      </c>
      <c r="E4" s="62" t="s">
        <v>27</v>
      </c>
      <c r="F4" s="62" t="s">
        <v>28</v>
      </c>
      <c r="G4" s="62" t="s">
        <v>9</v>
      </c>
      <c r="P4" s="36">
        <f>O29*1.1</f>
        <v>5133.3333333333339</v>
      </c>
    </row>
    <row r="5" spans="2:26" ht="41.25" customHeight="1" x14ac:dyDescent="0.3">
      <c r="B5" s="51" t="s">
        <v>498</v>
      </c>
      <c r="C5" s="66" t="s">
        <v>119</v>
      </c>
      <c r="D5" s="67">
        <f>O24</f>
        <v>20222.222222222223</v>
      </c>
      <c r="E5" s="67">
        <f>T24</f>
        <v>22244.444444444445</v>
      </c>
      <c r="F5" s="67">
        <f>Y24</f>
        <v>16312.592592592593</v>
      </c>
      <c r="G5" s="67">
        <f>D5+E5+F5</f>
        <v>58779.259259259263</v>
      </c>
    </row>
    <row r="6" spans="2:26" ht="30.75" customHeight="1" x14ac:dyDescent="0.3">
      <c r="B6" s="51" t="s">
        <v>499</v>
      </c>
      <c r="C6" s="66" t="s">
        <v>120</v>
      </c>
      <c r="D6" s="67">
        <f>O30</f>
        <v>4666.666666666667</v>
      </c>
      <c r="E6" s="67">
        <f>T30</f>
        <v>5133.3333333333339</v>
      </c>
      <c r="F6" s="67">
        <f>Y30</f>
        <v>11293.333333333336</v>
      </c>
      <c r="G6" s="67">
        <f>D6+E6+F6</f>
        <v>21093.333333333336</v>
      </c>
    </row>
    <row r="7" spans="2:26" x14ac:dyDescent="0.3">
      <c r="B7" s="51"/>
      <c r="C7" s="68" t="s">
        <v>10</v>
      </c>
      <c r="D7" s="69">
        <f>D5+D6</f>
        <v>24888.888888888891</v>
      </c>
      <c r="E7" s="69">
        <f>E5+E6</f>
        <v>27377.777777777781</v>
      </c>
      <c r="F7" s="69">
        <f>F5+F6</f>
        <v>27605.925925925927</v>
      </c>
      <c r="G7" s="69">
        <f>G5+G6</f>
        <v>79872.592592592599</v>
      </c>
    </row>
    <row r="8" spans="2:26" s="592" customFormat="1" x14ac:dyDescent="0.3">
      <c r="B8" s="589"/>
      <c r="C8" s="590"/>
      <c r="D8" s="591"/>
      <c r="E8" s="591"/>
      <c r="F8" s="591"/>
      <c r="G8" s="591"/>
      <c r="I8" s="593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4"/>
    </row>
    <row r="9" spans="2:26" x14ac:dyDescent="0.3">
      <c r="B9" s="806" t="s">
        <v>34</v>
      </c>
      <c r="C9" s="807"/>
      <c r="D9" s="807"/>
      <c r="E9" s="807"/>
      <c r="F9" s="807"/>
      <c r="G9" s="807"/>
      <c r="H9" s="807"/>
      <c r="I9" s="807"/>
    </row>
    <row r="10" spans="2:26" x14ac:dyDescent="0.3">
      <c r="B10" s="3"/>
      <c r="C10" s="3"/>
      <c r="D10" s="3"/>
      <c r="E10" s="3"/>
      <c r="F10" s="3"/>
      <c r="G10" s="3"/>
      <c r="H10" s="3"/>
      <c r="I10" s="464"/>
      <c r="J10" s="4"/>
      <c r="K10" s="841" t="s">
        <v>26</v>
      </c>
      <c r="L10" s="841"/>
      <c r="M10" s="841"/>
      <c r="N10" s="841"/>
      <c r="O10" s="517" t="s">
        <v>26</v>
      </c>
      <c r="P10" s="842" t="s">
        <v>27</v>
      </c>
      <c r="Q10" s="842"/>
      <c r="R10" s="842"/>
      <c r="S10" s="842"/>
      <c r="T10" s="517" t="s">
        <v>27</v>
      </c>
      <c r="U10" s="842" t="s">
        <v>28</v>
      </c>
      <c r="V10" s="842"/>
      <c r="W10" s="842"/>
      <c r="X10" s="842"/>
      <c r="Y10" s="517" t="s">
        <v>28</v>
      </c>
      <c r="Z10" s="6"/>
    </row>
    <row r="11" spans="2:26" x14ac:dyDescent="0.3">
      <c r="B11" s="3"/>
      <c r="C11" s="3" t="s">
        <v>35</v>
      </c>
      <c r="D11" s="3"/>
      <c r="E11" s="3"/>
      <c r="F11" s="3"/>
      <c r="G11" s="3"/>
      <c r="H11" s="3"/>
      <c r="I11" s="464"/>
      <c r="J11" s="4"/>
      <c r="K11" s="7" t="s">
        <v>36</v>
      </c>
      <c r="L11" s="7" t="s">
        <v>37</v>
      </c>
      <c r="M11" s="7" t="s">
        <v>38</v>
      </c>
      <c r="N11" s="7" t="s">
        <v>39</v>
      </c>
      <c r="O11" s="517" t="s">
        <v>9</v>
      </c>
      <c r="P11" s="8" t="s">
        <v>36</v>
      </c>
      <c r="Q11" s="8" t="s">
        <v>37</v>
      </c>
      <c r="R11" s="8" t="s">
        <v>38</v>
      </c>
      <c r="S11" s="8" t="s">
        <v>39</v>
      </c>
      <c r="T11" s="517" t="s">
        <v>9</v>
      </c>
      <c r="U11" s="8" t="s">
        <v>36</v>
      </c>
      <c r="V11" s="8" t="s">
        <v>37</v>
      </c>
      <c r="W11" s="8" t="s">
        <v>38</v>
      </c>
      <c r="X11" s="8" t="s">
        <v>39</v>
      </c>
      <c r="Y11" s="517" t="s">
        <v>9</v>
      </c>
      <c r="Z11" s="6" t="s">
        <v>19</v>
      </c>
    </row>
    <row r="12" spans="2:26" x14ac:dyDescent="0.3">
      <c r="B12" s="9" t="s">
        <v>498</v>
      </c>
      <c r="C12" s="835" t="str">
        <f>C5</f>
        <v>AFP Surveillance Review</v>
      </c>
      <c r="D12" s="836"/>
      <c r="E12" s="836"/>
      <c r="F12" s="836"/>
      <c r="G12" s="836"/>
      <c r="H12" s="836"/>
      <c r="I12" s="837"/>
      <c r="J12" s="4"/>
      <c r="K12" s="7"/>
      <c r="L12" s="7"/>
      <c r="M12" s="7"/>
      <c r="N12" s="7"/>
      <c r="O12" s="517"/>
      <c r="P12" s="8"/>
      <c r="Q12" s="8"/>
      <c r="R12" s="8"/>
      <c r="S12" s="8"/>
      <c r="T12" s="517"/>
      <c r="U12" s="8"/>
      <c r="V12" s="8"/>
      <c r="W12" s="8"/>
      <c r="X12" s="8"/>
      <c r="Y12" s="517"/>
      <c r="Z12" s="6"/>
    </row>
    <row r="13" spans="2:26" x14ac:dyDescent="0.3">
      <c r="B13" s="3"/>
      <c r="C13" s="3" t="s">
        <v>121</v>
      </c>
      <c r="D13" s="3"/>
      <c r="E13" s="3"/>
      <c r="F13" s="3"/>
      <c r="G13" s="3"/>
      <c r="H13" s="3"/>
      <c r="I13" s="464"/>
      <c r="J13" s="4"/>
      <c r="K13" s="7"/>
      <c r="L13" s="7"/>
      <c r="M13" s="7">
        <v>3</v>
      </c>
      <c r="N13" s="7"/>
      <c r="O13" s="8">
        <v>3</v>
      </c>
      <c r="P13" s="8"/>
      <c r="Q13" s="8"/>
      <c r="R13" s="8">
        <v>3</v>
      </c>
      <c r="S13" s="8"/>
      <c r="T13" s="8">
        <v>3</v>
      </c>
      <c r="U13" s="8">
        <v>3</v>
      </c>
      <c r="V13" s="8"/>
      <c r="W13" s="8">
        <v>2</v>
      </c>
      <c r="X13" s="8"/>
      <c r="Y13" s="8">
        <v>2</v>
      </c>
      <c r="Z13" s="6">
        <v>8</v>
      </c>
    </row>
    <row r="14" spans="2:26" x14ac:dyDescent="0.3">
      <c r="B14" s="3"/>
      <c r="C14" s="3"/>
      <c r="D14" s="3"/>
      <c r="E14" s="3"/>
      <c r="F14" s="3"/>
      <c r="G14" s="3"/>
      <c r="H14" s="3"/>
      <c r="I14" s="464"/>
      <c r="J14" s="4"/>
      <c r="K14" s="7"/>
      <c r="L14" s="7"/>
      <c r="M14" s="7"/>
      <c r="N14" s="7"/>
      <c r="O14" s="517"/>
      <c r="P14" s="8"/>
      <c r="Q14" s="8"/>
      <c r="R14" s="8"/>
      <c r="S14" s="8"/>
      <c r="T14" s="517"/>
      <c r="U14" s="8"/>
      <c r="V14" s="8"/>
      <c r="W14" s="8"/>
      <c r="X14" s="8"/>
      <c r="Y14" s="517"/>
      <c r="Z14" s="6"/>
    </row>
    <row r="15" spans="2:26" ht="17.25" customHeight="1" x14ac:dyDescent="0.3">
      <c r="B15" s="51" t="s">
        <v>499</v>
      </c>
      <c r="C15" s="835" t="str">
        <f>C6</f>
        <v>UIP Review</v>
      </c>
      <c r="D15" s="836"/>
      <c r="E15" s="836"/>
      <c r="F15" s="836"/>
      <c r="G15" s="836"/>
      <c r="H15" s="836"/>
      <c r="I15" s="837"/>
      <c r="J15" s="4"/>
      <c r="K15" s="7"/>
      <c r="L15" s="7"/>
      <c r="M15" s="7"/>
      <c r="N15" s="7"/>
      <c r="O15" s="517"/>
      <c r="P15" s="8"/>
      <c r="Q15" s="8"/>
      <c r="R15" s="8"/>
      <c r="S15" s="8"/>
      <c r="T15" s="517"/>
      <c r="U15" s="8"/>
      <c r="V15" s="8"/>
      <c r="W15" s="8"/>
      <c r="X15" s="8"/>
      <c r="Y15" s="517"/>
      <c r="Z15" s="6"/>
    </row>
    <row r="16" spans="2:26" x14ac:dyDescent="0.3">
      <c r="B16" s="3"/>
      <c r="C16" s="3" t="s">
        <v>121</v>
      </c>
      <c r="D16" s="3"/>
      <c r="E16" s="3"/>
      <c r="F16" s="3"/>
      <c r="G16" s="3"/>
      <c r="H16" s="3"/>
      <c r="I16" s="464"/>
      <c r="J16" s="4"/>
      <c r="K16" s="7"/>
      <c r="L16" s="7"/>
      <c r="M16" s="7">
        <v>1</v>
      </c>
      <c r="N16" s="7"/>
      <c r="O16" s="8">
        <v>1</v>
      </c>
      <c r="P16" s="8"/>
      <c r="Q16" s="8"/>
      <c r="R16" s="8">
        <v>1</v>
      </c>
      <c r="S16" s="8"/>
      <c r="T16" s="8">
        <v>1</v>
      </c>
      <c r="U16" s="8"/>
      <c r="V16" s="8"/>
      <c r="W16" s="8">
        <v>2</v>
      </c>
      <c r="X16" s="8"/>
      <c r="Y16" s="8">
        <v>1</v>
      </c>
      <c r="Z16" s="6">
        <v>1</v>
      </c>
    </row>
    <row r="17" spans="2:26" x14ac:dyDescent="0.3">
      <c r="B17" s="3"/>
      <c r="C17" s="3"/>
      <c r="D17" s="3"/>
      <c r="E17" s="3"/>
      <c r="F17" s="3"/>
      <c r="G17" s="3"/>
      <c r="H17" s="3"/>
      <c r="I17" s="464"/>
      <c r="J17" s="4"/>
      <c r="K17" s="7"/>
      <c r="L17" s="7"/>
      <c r="M17" s="7"/>
      <c r="N17" s="7"/>
      <c r="O17" s="517"/>
      <c r="P17" s="8"/>
      <c r="Q17" s="8"/>
      <c r="R17" s="8"/>
      <c r="S17" s="8"/>
      <c r="T17" s="517"/>
      <c r="U17" s="8"/>
      <c r="V17" s="8"/>
      <c r="W17" s="8"/>
      <c r="X17" s="8"/>
      <c r="Y17" s="517"/>
      <c r="Z17" s="6"/>
    </row>
    <row r="20" spans="2:26" x14ac:dyDescent="0.3">
      <c r="B20" s="838" t="str">
        <f>+C5</f>
        <v>AFP Surveillance Review</v>
      </c>
      <c r="C20" s="839"/>
      <c r="D20" s="839"/>
      <c r="E20" s="839"/>
      <c r="F20" s="839"/>
      <c r="G20" s="839"/>
      <c r="H20" s="839"/>
      <c r="I20" s="840"/>
      <c r="J20" s="458"/>
      <c r="K20" s="820" t="s">
        <v>26</v>
      </c>
      <c r="L20" s="820"/>
      <c r="M20" s="820"/>
      <c r="N20" s="820"/>
      <c r="O20" s="518" t="str">
        <f>O10</f>
        <v>Year 1</v>
      </c>
      <c r="P20" s="821" t="s">
        <v>27</v>
      </c>
      <c r="Q20" s="821"/>
      <c r="R20" s="821"/>
      <c r="S20" s="821"/>
      <c r="T20" s="11" t="str">
        <f>T10</f>
        <v>Year 2</v>
      </c>
      <c r="U20" s="821" t="s">
        <v>28</v>
      </c>
      <c r="V20" s="821"/>
      <c r="W20" s="821"/>
      <c r="X20" s="821"/>
      <c r="Y20" s="12" t="str">
        <f>+Y10</f>
        <v>Year 3</v>
      </c>
      <c r="Z20" s="13" t="s">
        <v>19</v>
      </c>
    </row>
    <row r="21" spans="2:26" x14ac:dyDescent="0.3">
      <c r="B21" s="464"/>
      <c r="C21" s="464" t="s">
        <v>49</v>
      </c>
      <c r="D21" s="464" t="s">
        <v>50</v>
      </c>
      <c r="E21" s="464" t="s">
        <v>51</v>
      </c>
      <c r="F21" s="464" t="s">
        <v>52</v>
      </c>
      <c r="G21" s="464" t="s">
        <v>53</v>
      </c>
      <c r="H21" s="464" t="s">
        <v>54</v>
      </c>
      <c r="I21" s="464" t="s">
        <v>55</v>
      </c>
      <c r="J21" s="458"/>
      <c r="K21" s="464" t="s">
        <v>36</v>
      </c>
      <c r="L21" s="464" t="s">
        <v>37</v>
      </c>
      <c r="M21" s="464" t="s">
        <v>38</v>
      </c>
      <c r="N21" s="464" t="s">
        <v>39</v>
      </c>
      <c r="O21" s="12" t="s">
        <v>9</v>
      </c>
      <c r="P21" s="12" t="s">
        <v>36</v>
      </c>
      <c r="Q21" s="12" t="s">
        <v>37</v>
      </c>
      <c r="R21" s="12" t="s">
        <v>38</v>
      </c>
      <c r="S21" s="12" t="s">
        <v>39</v>
      </c>
      <c r="T21" s="12" t="s">
        <v>9</v>
      </c>
      <c r="U21" s="12" t="s">
        <v>36</v>
      </c>
      <c r="V21" s="12" t="s">
        <v>37</v>
      </c>
      <c r="W21" s="12" t="s">
        <v>38</v>
      </c>
      <c r="X21" s="12" t="s">
        <v>39</v>
      </c>
      <c r="Y21" s="12" t="s">
        <v>9</v>
      </c>
      <c r="Z21" s="13"/>
    </row>
    <row r="22" spans="2:26" x14ac:dyDescent="0.3">
      <c r="B22" s="464" t="str">
        <f>B12</f>
        <v>5.3.1</v>
      </c>
      <c r="C22" s="483" t="str">
        <f>C12</f>
        <v>AFP Surveillance Review</v>
      </c>
      <c r="D22" s="464"/>
      <c r="E22" s="464"/>
      <c r="F22" s="464"/>
      <c r="G22" s="464"/>
      <c r="H22" s="464"/>
      <c r="I22" s="464"/>
      <c r="J22" s="458"/>
      <c r="K22" s="464"/>
      <c r="L22" s="464"/>
      <c r="M22" s="464"/>
      <c r="N22" s="46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spans="2:26" x14ac:dyDescent="0.3">
      <c r="B23" s="464"/>
      <c r="C23" s="464" t="str">
        <f>C13</f>
        <v>Review Meetings</v>
      </c>
      <c r="D23" s="464">
        <f>G49</f>
        <v>364000</v>
      </c>
      <c r="E23" s="519" t="s">
        <v>518</v>
      </c>
      <c r="F23" s="519" t="s">
        <v>518</v>
      </c>
      <c r="G23" s="497">
        <v>1</v>
      </c>
      <c r="H23" s="464">
        <f>D23*G23</f>
        <v>364000</v>
      </c>
      <c r="I23" s="464">
        <f>H23/54</f>
        <v>6740.7407407407409</v>
      </c>
      <c r="J23" s="458"/>
      <c r="K23" s="464"/>
      <c r="L23" s="464"/>
      <c r="M23" s="89">
        <f>I23*M13</f>
        <v>20222.222222222223</v>
      </c>
      <c r="N23" s="464"/>
      <c r="O23" s="12">
        <f>K23+L23+M23+N23</f>
        <v>20222.222222222223</v>
      </c>
      <c r="P23" s="12"/>
      <c r="Q23" s="12"/>
      <c r="R23" s="12">
        <f>M23*1.1</f>
        <v>22244.444444444445</v>
      </c>
      <c r="S23" s="12"/>
      <c r="T23" s="12">
        <f>P23+Q23+R23+S23</f>
        <v>22244.444444444445</v>
      </c>
      <c r="U23" s="12"/>
      <c r="V23" s="12"/>
      <c r="W23" s="12">
        <f>(R23/3*2)*1.1</f>
        <v>16312.592592592593</v>
      </c>
      <c r="X23" s="12"/>
      <c r="Y23" s="12">
        <f>U23+V23+W23+X23</f>
        <v>16312.592592592593</v>
      </c>
      <c r="Z23" s="13">
        <f>O23+T23+Y23</f>
        <v>58779.259259259263</v>
      </c>
    </row>
    <row r="24" spans="2:26" x14ac:dyDescent="0.3">
      <c r="B24" s="467"/>
      <c r="C24" s="467" t="s">
        <v>56</v>
      </c>
      <c r="D24" s="467"/>
      <c r="E24" s="467"/>
      <c r="F24" s="467"/>
      <c r="G24" s="467"/>
      <c r="H24" s="467"/>
      <c r="I24" s="467"/>
      <c r="J24" s="473"/>
      <c r="K24" s="467">
        <f>K23</f>
        <v>0</v>
      </c>
      <c r="L24" s="467">
        <f t="shared" ref="L24:Z24" si="0">L23</f>
        <v>0</v>
      </c>
      <c r="M24" s="467">
        <f t="shared" si="0"/>
        <v>20222.222222222223</v>
      </c>
      <c r="N24" s="467">
        <f t="shared" si="0"/>
        <v>0</v>
      </c>
      <c r="O24" s="15">
        <f t="shared" si="0"/>
        <v>20222.222222222223</v>
      </c>
      <c r="P24" s="15">
        <f t="shared" si="0"/>
        <v>0</v>
      </c>
      <c r="Q24" s="15">
        <f t="shared" si="0"/>
        <v>0</v>
      </c>
      <c r="R24" s="15">
        <f t="shared" si="0"/>
        <v>22244.444444444445</v>
      </c>
      <c r="S24" s="15">
        <f t="shared" si="0"/>
        <v>0</v>
      </c>
      <c r="T24" s="15">
        <f t="shared" si="0"/>
        <v>22244.444444444445</v>
      </c>
      <c r="U24" s="15">
        <f t="shared" si="0"/>
        <v>0</v>
      </c>
      <c r="V24" s="15">
        <f t="shared" si="0"/>
        <v>0</v>
      </c>
      <c r="W24" s="15">
        <f t="shared" si="0"/>
        <v>16312.592592592593</v>
      </c>
      <c r="X24" s="15">
        <f t="shared" si="0"/>
        <v>0</v>
      </c>
      <c r="Y24" s="15">
        <f t="shared" si="0"/>
        <v>16312.592592592593</v>
      </c>
      <c r="Z24" s="15">
        <f t="shared" si="0"/>
        <v>58779.259259259263</v>
      </c>
    </row>
    <row r="25" spans="2:26" x14ac:dyDescent="0.3">
      <c r="J25" s="95"/>
    </row>
    <row r="26" spans="2:26" x14ac:dyDescent="0.3">
      <c r="B26" s="772" t="str">
        <f>+C6</f>
        <v>UIP Review</v>
      </c>
      <c r="C26" s="773"/>
      <c r="D26" s="773"/>
      <c r="E26" s="773"/>
      <c r="F26" s="773"/>
      <c r="G26" s="773"/>
      <c r="H26" s="773"/>
      <c r="I26" s="791"/>
      <c r="J26" s="95"/>
      <c r="K26" s="820" t="s">
        <v>26</v>
      </c>
      <c r="L26" s="820"/>
      <c r="M26" s="820"/>
      <c r="N26" s="820"/>
      <c r="O26" s="518" t="str">
        <f>O20</f>
        <v>Year 1</v>
      </c>
      <c r="P26" s="821" t="s">
        <v>27</v>
      </c>
      <c r="Q26" s="821"/>
      <c r="R26" s="821"/>
      <c r="S26" s="821"/>
      <c r="T26" s="11" t="str">
        <f>+T20</f>
        <v>Year 2</v>
      </c>
      <c r="U26" s="821" t="s">
        <v>28</v>
      </c>
      <c r="V26" s="821"/>
      <c r="W26" s="821"/>
      <c r="X26" s="821"/>
      <c r="Y26" s="12" t="str">
        <f>+Y20</f>
        <v>Year 3</v>
      </c>
      <c r="Z26" s="13" t="s">
        <v>19</v>
      </c>
    </row>
    <row r="27" spans="2:26" x14ac:dyDescent="0.3">
      <c r="B27" s="3"/>
      <c r="C27" s="3" t="s">
        <v>49</v>
      </c>
      <c r="D27" s="3" t="s">
        <v>50</v>
      </c>
      <c r="E27" s="3" t="s">
        <v>51</v>
      </c>
      <c r="F27" s="3" t="s">
        <v>52</v>
      </c>
      <c r="G27" s="3" t="s">
        <v>53</v>
      </c>
      <c r="H27" s="3" t="s">
        <v>54</v>
      </c>
      <c r="I27" s="464" t="s">
        <v>55</v>
      </c>
      <c r="J27" s="95"/>
      <c r="K27" s="464" t="s">
        <v>36</v>
      </c>
      <c r="L27" s="464" t="s">
        <v>37</v>
      </c>
      <c r="M27" s="464" t="s">
        <v>38</v>
      </c>
      <c r="N27" s="464" t="s">
        <v>39</v>
      </c>
      <c r="O27" s="12" t="s">
        <v>9</v>
      </c>
      <c r="P27" s="12" t="s">
        <v>36</v>
      </c>
      <c r="Q27" s="12" t="s">
        <v>37</v>
      </c>
      <c r="R27" s="12" t="s">
        <v>38</v>
      </c>
      <c r="S27" s="12" t="s">
        <v>39</v>
      </c>
      <c r="T27" s="12" t="s">
        <v>9</v>
      </c>
      <c r="U27" s="12" t="s">
        <v>36</v>
      </c>
      <c r="V27" s="12" t="s">
        <v>37</v>
      </c>
      <c r="W27" s="12" t="s">
        <v>38</v>
      </c>
      <c r="X27" s="12" t="s">
        <v>39</v>
      </c>
      <c r="Y27" s="12" t="s">
        <v>9</v>
      </c>
      <c r="Z27" s="13"/>
    </row>
    <row r="28" spans="2:26" ht="15.75" customHeight="1" x14ac:dyDescent="0.3">
      <c r="B28" s="3" t="str">
        <f>B15</f>
        <v>5.3.2</v>
      </c>
      <c r="C28" s="66" t="str">
        <f>C15</f>
        <v>UIP Review</v>
      </c>
      <c r="D28" s="3"/>
      <c r="E28" s="3"/>
      <c r="F28" s="3"/>
      <c r="G28" s="3"/>
      <c r="H28" s="3"/>
      <c r="I28" s="464"/>
      <c r="J28" s="95"/>
      <c r="K28" s="464"/>
      <c r="L28" s="464"/>
      <c r="M28" s="464"/>
      <c r="N28" s="46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2:26" x14ac:dyDescent="0.3">
      <c r="B29" s="3"/>
      <c r="C29" s="3" t="str">
        <f>C16</f>
        <v>Review Meetings</v>
      </c>
      <c r="D29" s="464">
        <f>G56</f>
        <v>252000</v>
      </c>
      <c r="E29" s="519" t="s">
        <v>518</v>
      </c>
      <c r="F29" s="519" t="s">
        <v>518</v>
      </c>
      <c r="G29" s="497">
        <v>1</v>
      </c>
      <c r="H29" s="464">
        <f>D29*G29</f>
        <v>252000</v>
      </c>
      <c r="I29" s="464">
        <f>H29/54</f>
        <v>4666.666666666667</v>
      </c>
      <c r="J29" s="95"/>
      <c r="K29" s="468"/>
      <c r="L29" s="468"/>
      <c r="M29" s="468">
        <f>I29*M16</f>
        <v>4666.666666666667</v>
      </c>
      <c r="N29" s="464">
        <f>K29</f>
        <v>0</v>
      </c>
      <c r="O29" s="12">
        <f>K29+L29+M29+N29</f>
        <v>4666.666666666667</v>
      </c>
      <c r="P29" s="12">
        <f>(K29*25/20)*1.1</f>
        <v>0</v>
      </c>
      <c r="Q29" s="12">
        <f>P29</f>
        <v>0</v>
      </c>
      <c r="R29" s="12">
        <f>M29*1.1</f>
        <v>5133.3333333333339</v>
      </c>
      <c r="S29" s="12"/>
      <c r="T29" s="12">
        <f>P29+Q29+R29+S29</f>
        <v>5133.3333333333339</v>
      </c>
      <c r="U29" s="12">
        <f>(P29*30/25)*1.1</f>
        <v>0</v>
      </c>
      <c r="V29" s="12">
        <f>(Q29*30/25)*1.1</f>
        <v>0</v>
      </c>
      <c r="W29" s="12">
        <f>(R29*1.1)*W16</f>
        <v>11293.333333333336</v>
      </c>
      <c r="X29" s="12">
        <f>(S29*30/25)*1.1</f>
        <v>0</v>
      </c>
      <c r="Y29" s="12">
        <f>U29+V29+W29+X29</f>
        <v>11293.333333333336</v>
      </c>
      <c r="Z29" s="13">
        <f>O29+T29+Y29</f>
        <v>21093.333333333336</v>
      </c>
    </row>
    <row r="30" spans="2:26" x14ac:dyDescent="0.3">
      <c r="B30" s="18"/>
      <c r="C30" s="18" t="s">
        <v>56</v>
      </c>
      <c r="D30" s="18"/>
      <c r="E30" s="18"/>
      <c r="F30" s="18"/>
      <c r="G30" s="18"/>
      <c r="H30" s="19"/>
      <c r="I30" s="467"/>
      <c r="J30" s="95"/>
      <c r="K30" s="467">
        <f>K29</f>
        <v>0</v>
      </c>
      <c r="L30" s="467">
        <f t="shared" ref="L30:Z30" si="1">L29</f>
        <v>0</v>
      </c>
      <c r="M30" s="467">
        <f t="shared" si="1"/>
        <v>4666.666666666667</v>
      </c>
      <c r="N30" s="467">
        <f t="shared" si="1"/>
        <v>0</v>
      </c>
      <c r="O30" s="15">
        <f t="shared" si="1"/>
        <v>4666.666666666667</v>
      </c>
      <c r="P30" s="15">
        <f t="shared" si="1"/>
        <v>0</v>
      </c>
      <c r="Q30" s="15">
        <f t="shared" si="1"/>
        <v>0</v>
      </c>
      <c r="R30" s="15">
        <f t="shared" si="1"/>
        <v>5133.3333333333339</v>
      </c>
      <c r="S30" s="15">
        <f t="shared" si="1"/>
        <v>0</v>
      </c>
      <c r="T30" s="15">
        <f t="shared" si="1"/>
        <v>5133.3333333333339</v>
      </c>
      <c r="U30" s="15">
        <f t="shared" si="1"/>
        <v>0</v>
      </c>
      <c r="V30" s="15">
        <f t="shared" si="1"/>
        <v>0</v>
      </c>
      <c r="W30" s="15">
        <f t="shared" si="1"/>
        <v>11293.333333333336</v>
      </c>
      <c r="X30" s="15">
        <f t="shared" si="1"/>
        <v>0</v>
      </c>
      <c r="Y30" s="15">
        <f t="shared" si="1"/>
        <v>11293.333333333336</v>
      </c>
      <c r="Z30" s="15">
        <f t="shared" si="1"/>
        <v>21093.333333333336</v>
      </c>
    </row>
    <row r="34" spans="2:26" x14ac:dyDescent="0.3">
      <c r="B34" s="3"/>
      <c r="C34" s="3" t="s">
        <v>59</v>
      </c>
      <c r="D34" s="3"/>
      <c r="E34" s="3"/>
      <c r="F34" s="3"/>
      <c r="G34" s="3"/>
      <c r="H34" s="3"/>
      <c r="I34" s="464"/>
      <c r="J34" s="3"/>
      <c r="K34" s="3"/>
      <c r="L34" s="3"/>
      <c r="M34" s="3"/>
      <c r="N34" s="3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x14ac:dyDescent="0.3">
      <c r="B35" s="3"/>
      <c r="C35" s="3"/>
      <c r="D35" s="3"/>
      <c r="E35" s="3"/>
      <c r="F35" s="3"/>
      <c r="G35" s="3"/>
      <c r="H35" s="3"/>
      <c r="I35" s="464"/>
      <c r="J35" s="3"/>
      <c r="K35" s="822" t="s">
        <v>26</v>
      </c>
      <c r="L35" s="823"/>
      <c r="M35" s="823"/>
      <c r="N35" s="824"/>
      <c r="O35" s="21"/>
      <c r="P35" s="825" t="s">
        <v>27</v>
      </c>
      <c r="Q35" s="826"/>
      <c r="R35" s="826"/>
      <c r="S35" s="827"/>
      <c r="T35" s="22"/>
      <c r="U35" s="825" t="s">
        <v>28</v>
      </c>
      <c r="V35" s="826"/>
      <c r="W35" s="826"/>
      <c r="X35" s="827"/>
      <c r="Y35" s="14"/>
      <c r="Z35" s="13" t="s">
        <v>19</v>
      </c>
    </row>
    <row r="36" spans="2:26" x14ac:dyDescent="0.3">
      <c r="B36" s="3"/>
      <c r="C36" s="3"/>
      <c r="D36" s="3"/>
      <c r="E36" s="3"/>
      <c r="F36" s="3"/>
      <c r="G36" s="3"/>
      <c r="H36" s="3"/>
      <c r="I36" s="464"/>
      <c r="J36" s="3"/>
      <c r="K36" s="464" t="s">
        <v>36</v>
      </c>
      <c r="L36" s="464" t="s">
        <v>37</v>
      </c>
      <c r="M36" s="464" t="s">
        <v>38</v>
      </c>
      <c r="N36" s="464" t="s">
        <v>39</v>
      </c>
      <c r="O36" s="14" t="s">
        <v>9</v>
      </c>
      <c r="P36" s="14" t="s">
        <v>36</v>
      </c>
      <c r="Q36" s="14" t="s">
        <v>37</v>
      </c>
      <c r="R36" s="14" t="s">
        <v>38</v>
      </c>
      <c r="S36" s="14" t="s">
        <v>39</v>
      </c>
      <c r="T36" s="14" t="s">
        <v>9</v>
      </c>
      <c r="U36" s="14" t="s">
        <v>36</v>
      </c>
      <c r="V36" s="14" t="s">
        <v>37</v>
      </c>
      <c r="W36" s="14" t="s">
        <v>38</v>
      </c>
      <c r="X36" s="14" t="s">
        <v>39</v>
      </c>
      <c r="Y36" s="23" t="s">
        <v>9</v>
      </c>
      <c r="Z36" s="13"/>
    </row>
    <row r="37" spans="2:26" x14ac:dyDescent="0.3">
      <c r="B37" s="24" t="str">
        <f>B22</f>
        <v>5.3.1</v>
      </c>
      <c r="C37" s="24" t="str">
        <f>C22</f>
        <v>AFP Surveillance Review</v>
      </c>
      <c r="D37" s="3"/>
      <c r="E37" s="3"/>
      <c r="F37" s="3"/>
      <c r="G37" s="3"/>
      <c r="H37" s="3"/>
      <c r="I37" s="464"/>
      <c r="J37" s="3"/>
      <c r="K37" s="24">
        <f>K24</f>
        <v>0</v>
      </c>
      <c r="L37" s="24">
        <f t="shared" ref="L37:Z37" si="2">L24</f>
        <v>0</v>
      </c>
      <c r="M37" s="24">
        <f t="shared" si="2"/>
        <v>20222.222222222223</v>
      </c>
      <c r="N37" s="24">
        <f t="shared" si="2"/>
        <v>0</v>
      </c>
      <c r="O37" s="25">
        <f t="shared" si="2"/>
        <v>20222.222222222223</v>
      </c>
      <c r="P37" s="25">
        <f t="shared" si="2"/>
        <v>0</v>
      </c>
      <c r="Q37" s="25">
        <f t="shared" si="2"/>
        <v>0</v>
      </c>
      <c r="R37" s="25">
        <f t="shared" si="2"/>
        <v>22244.444444444445</v>
      </c>
      <c r="S37" s="25">
        <f t="shared" si="2"/>
        <v>0</v>
      </c>
      <c r="T37" s="25">
        <f t="shared" si="2"/>
        <v>22244.444444444445</v>
      </c>
      <c r="U37" s="25">
        <f t="shared" si="2"/>
        <v>0</v>
      </c>
      <c r="V37" s="25">
        <f t="shared" si="2"/>
        <v>0</v>
      </c>
      <c r="W37" s="25">
        <f t="shared" si="2"/>
        <v>16312.592592592593</v>
      </c>
      <c r="X37" s="25">
        <f t="shared" si="2"/>
        <v>0</v>
      </c>
      <c r="Y37" s="25">
        <f t="shared" si="2"/>
        <v>16312.592592592593</v>
      </c>
      <c r="Z37" s="13">
        <f t="shared" si="2"/>
        <v>58779.259259259263</v>
      </c>
    </row>
    <row r="38" spans="2:26" x14ac:dyDescent="0.3">
      <c r="B38" s="3" t="str">
        <f>B28</f>
        <v>5.3.2</v>
      </c>
      <c r="C38" s="3" t="str">
        <f>C28</f>
        <v>UIP Review</v>
      </c>
      <c r="D38" s="3"/>
      <c r="E38" s="3"/>
      <c r="F38" s="3"/>
      <c r="G38" s="3"/>
      <c r="H38" s="3"/>
      <c r="I38" s="464"/>
      <c r="J38" s="3"/>
      <c r="K38" s="24">
        <f>K30</f>
        <v>0</v>
      </c>
      <c r="L38" s="24">
        <f t="shared" ref="L38:Z38" si="3">L30</f>
        <v>0</v>
      </c>
      <c r="M38" s="24">
        <f t="shared" si="3"/>
        <v>4666.666666666667</v>
      </c>
      <c r="N38" s="24">
        <f t="shared" si="3"/>
        <v>0</v>
      </c>
      <c r="O38" s="25">
        <f t="shared" si="3"/>
        <v>4666.666666666667</v>
      </c>
      <c r="P38" s="25">
        <f t="shared" si="3"/>
        <v>0</v>
      </c>
      <c r="Q38" s="25">
        <f t="shared" si="3"/>
        <v>0</v>
      </c>
      <c r="R38" s="25">
        <f t="shared" si="3"/>
        <v>5133.3333333333339</v>
      </c>
      <c r="S38" s="25">
        <f t="shared" si="3"/>
        <v>0</v>
      </c>
      <c r="T38" s="25">
        <f t="shared" si="3"/>
        <v>5133.3333333333339</v>
      </c>
      <c r="U38" s="25">
        <f t="shared" si="3"/>
        <v>0</v>
      </c>
      <c r="V38" s="25">
        <f t="shared" si="3"/>
        <v>0</v>
      </c>
      <c r="W38" s="25">
        <f t="shared" si="3"/>
        <v>11293.333333333336</v>
      </c>
      <c r="X38" s="25">
        <f t="shared" si="3"/>
        <v>0</v>
      </c>
      <c r="Y38" s="25">
        <f t="shared" si="3"/>
        <v>11293.333333333336</v>
      </c>
      <c r="Z38" s="13">
        <f t="shared" si="3"/>
        <v>21093.333333333336</v>
      </c>
    </row>
    <row r="39" spans="2:26" x14ac:dyDescent="0.3">
      <c r="B39" s="3"/>
      <c r="C39" s="484" t="s">
        <v>59</v>
      </c>
      <c r="D39" s="484"/>
      <c r="E39" s="484"/>
      <c r="F39" s="484"/>
      <c r="G39" s="484"/>
      <c r="H39" s="484"/>
      <c r="I39" s="485"/>
      <c r="J39" s="484"/>
      <c r="K39" s="486">
        <f>K37+K38</f>
        <v>0</v>
      </c>
      <c r="L39" s="486">
        <f t="shared" ref="L39:Z39" si="4">L37+L38</f>
        <v>0</v>
      </c>
      <c r="M39" s="486">
        <f t="shared" si="4"/>
        <v>24888.888888888891</v>
      </c>
      <c r="N39" s="486">
        <f t="shared" si="4"/>
        <v>0</v>
      </c>
      <c r="O39" s="486">
        <f t="shared" si="4"/>
        <v>24888.888888888891</v>
      </c>
      <c r="P39" s="486">
        <f t="shared" si="4"/>
        <v>0</v>
      </c>
      <c r="Q39" s="486">
        <f t="shared" si="4"/>
        <v>0</v>
      </c>
      <c r="R39" s="486">
        <f t="shared" si="4"/>
        <v>27377.777777777781</v>
      </c>
      <c r="S39" s="486">
        <f t="shared" si="4"/>
        <v>0</v>
      </c>
      <c r="T39" s="486">
        <f t="shared" si="4"/>
        <v>27377.777777777781</v>
      </c>
      <c r="U39" s="486">
        <f t="shared" si="4"/>
        <v>0</v>
      </c>
      <c r="V39" s="486">
        <f t="shared" si="4"/>
        <v>0</v>
      </c>
      <c r="W39" s="486">
        <f t="shared" si="4"/>
        <v>27605.925925925927</v>
      </c>
      <c r="X39" s="486">
        <f t="shared" si="4"/>
        <v>0</v>
      </c>
      <c r="Y39" s="486">
        <f t="shared" si="4"/>
        <v>27605.925925925927</v>
      </c>
      <c r="Z39" s="486">
        <f t="shared" si="4"/>
        <v>79872.592592592599</v>
      </c>
    </row>
    <row r="40" spans="2:26" x14ac:dyDescent="0.3">
      <c r="B40" s="3"/>
      <c r="C40" s="3"/>
      <c r="D40" s="3"/>
      <c r="E40" s="3"/>
      <c r="F40" s="3"/>
      <c r="G40" s="3"/>
      <c r="H40" s="3"/>
      <c r="I40" s="464"/>
      <c r="J40" s="3"/>
      <c r="K40" s="3"/>
      <c r="L40" s="3"/>
      <c r="M40" s="3"/>
      <c r="N40" s="3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2" spans="2:26" x14ac:dyDescent="0.3">
      <c r="C42" s="783" t="s">
        <v>61</v>
      </c>
      <c r="D42" s="783"/>
      <c r="E42" s="783"/>
      <c r="F42" s="783"/>
      <c r="G42" s="783"/>
      <c r="H42" s="539"/>
      <c r="I42" s="539"/>
    </row>
    <row r="43" spans="2:26" x14ac:dyDescent="0.3">
      <c r="C43" s="500" t="s">
        <v>122</v>
      </c>
      <c r="D43" s="501"/>
      <c r="E43" s="502"/>
      <c r="F43" s="850" t="s">
        <v>123</v>
      </c>
      <c r="G43" s="850"/>
    </row>
    <row r="44" spans="2:26" x14ac:dyDescent="0.3">
      <c r="C44" s="509" t="s">
        <v>124</v>
      </c>
      <c r="D44" s="503" t="s">
        <v>125</v>
      </c>
      <c r="E44" s="504" t="s">
        <v>126</v>
      </c>
      <c r="F44" s="505" t="s">
        <v>53</v>
      </c>
      <c r="G44" s="506" t="s">
        <v>9</v>
      </c>
    </row>
    <row r="45" spans="2:26" x14ac:dyDescent="0.3">
      <c r="C45" s="509" t="s">
        <v>127</v>
      </c>
      <c r="D45" s="503">
        <v>20000</v>
      </c>
      <c r="E45" s="507">
        <v>6</v>
      </c>
      <c r="F45" s="508">
        <v>1</v>
      </c>
      <c r="G45" s="503">
        <f>D45*E45</f>
        <v>120000</v>
      </c>
    </row>
    <row r="46" spans="2:26" x14ac:dyDescent="0.3">
      <c r="C46" s="509" t="s">
        <v>89</v>
      </c>
      <c r="D46" s="503">
        <v>1000</v>
      </c>
      <c r="E46" s="507">
        <v>6</v>
      </c>
      <c r="F46" s="508">
        <v>1</v>
      </c>
      <c r="G46" s="503">
        <f>D46*E46</f>
        <v>6000</v>
      </c>
    </row>
    <row r="47" spans="2:26" ht="28.8" x14ac:dyDescent="0.3">
      <c r="C47" s="509" t="s">
        <v>128</v>
      </c>
      <c r="D47" s="503">
        <f>5000*7</f>
        <v>35000</v>
      </c>
      <c r="E47" s="507">
        <v>6</v>
      </c>
      <c r="F47" s="508">
        <v>1</v>
      </c>
      <c r="G47" s="503">
        <f>D47*E47</f>
        <v>210000</v>
      </c>
    </row>
    <row r="48" spans="2:26" x14ac:dyDescent="0.3">
      <c r="C48" s="509" t="s">
        <v>129</v>
      </c>
      <c r="D48" s="503">
        <f>2000*7</f>
        <v>14000</v>
      </c>
      <c r="E48" s="507">
        <v>2</v>
      </c>
      <c r="F48" s="508">
        <v>1</v>
      </c>
      <c r="G48" s="503">
        <f>D48*E48</f>
        <v>28000</v>
      </c>
    </row>
    <row r="49" spans="3:7" x14ac:dyDescent="0.3">
      <c r="C49" s="3"/>
      <c r="D49" s="503"/>
      <c r="E49" s="507" t="s">
        <v>130</v>
      </c>
      <c r="F49" s="507"/>
      <c r="G49" s="503">
        <f>SUM(G45:G48)</f>
        <v>364000</v>
      </c>
    </row>
    <row r="51" spans="3:7" x14ac:dyDescent="0.3">
      <c r="C51" s="509" t="s">
        <v>124</v>
      </c>
      <c r="D51" s="503" t="s">
        <v>125</v>
      </c>
      <c r="E51" s="507" t="s">
        <v>126</v>
      </c>
      <c r="F51" s="505" t="s">
        <v>53</v>
      </c>
      <c r="G51" s="506">
        <v>2013</v>
      </c>
    </row>
    <row r="52" spans="3:7" x14ac:dyDescent="0.3">
      <c r="C52" s="509" t="s">
        <v>127</v>
      </c>
      <c r="D52" s="503">
        <v>20000</v>
      </c>
      <c r="E52" s="507">
        <v>4</v>
      </c>
      <c r="F52" s="508">
        <v>1</v>
      </c>
      <c r="G52" s="503">
        <f>D52*E52</f>
        <v>80000</v>
      </c>
    </row>
    <row r="53" spans="3:7" x14ac:dyDescent="0.3">
      <c r="C53" s="509" t="s">
        <v>89</v>
      </c>
      <c r="D53" s="503">
        <v>1000</v>
      </c>
      <c r="E53" s="507">
        <v>4</v>
      </c>
      <c r="F53" s="508">
        <v>1</v>
      </c>
      <c r="G53" s="503">
        <f>D53*E53</f>
        <v>4000</v>
      </c>
    </row>
    <row r="54" spans="3:7" ht="28.8" x14ac:dyDescent="0.3">
      <c r="C54" s="509" t="s">
        <v>128</v>
      </c>
      <c r="D54" s="503">
        <f>5000*7</f>
        <v>35000</v>
      </c>
      <c r="E54" s="507">
        <v>4</v>
      </c>
      <c r="F54" s="508">
        <v>1</v>
      </c>
      <c r="G54" s="503">
        <f>D54*E54</f>
        <v>140000</v>
      </c>
    </row>
    <row r="55" spans="3:7" x14ac:dyDescent="0.3">
      <c r="C55" s="509" t="s">
        <v>131</v>
      </c>
      <c r="D55" s="503">
        <f>2000*7</f>
        <v>14000</v>
      </c>
      <c r="E55" s="507">
        <v>2</v>
      </c>
      <c r="F55" s="508">
        <v>1</v>
      </c>
      <c r="G55" s="503">
        <f>D55*E55</f>
        <v>28000</v>
      </c>
    </row>
    <row r="56" spans="3:7" x14ac:dyDescent="0.3">
      <c r="C56" s="3"/>
      <c r="D56" s="503"/>
      <c r="E56" s="507" t="s">
        <v>132</v>
      </c>
      <c r="F56" s="507"/>
      <c r="G56" s="503">
        <f>SUM(G52:G55)</f>
        <v>252000</v>
      </c>
    </row>
  </sheetData>
  <mergeCells count="19">
    <mergeCell ref="C15:I15"/>
    <mergeCell ref="B9:I9"/>
    <mergeCell ref="K10:N10"/>
    <mergeCell ref="P10:S10"/>
    <mergeCell ref="U10:X10"/>
    <mergeCell ref="C12:I12"/>
    <mergeCell ref="B20:I20"/>
    <mergeCell ref="K20:N20"/>
    <mergeCell ref="P20:S20"/>
    <mergeCell ref="U20:X20"/>
    <mergeCell ref="B26:I26"/>
    <mergeCell ref="K26:N26"/>
    <mergeCell ref="P26:S26"/>
    <mergeCell ref="U26:X26"/>
    <mergeCell ref="K35:N35"/>
    <mergeCell ref="P35:S35"/>
    <mergeCell ref="U35:X35"/>
    <mergeCell ref="C42:G42"/>
    <mergeCell ref="F43:G43"/>
  </mergeCells>
  <pageMargins left="0.7" right="0.7" top="0.75" bottom="0.75" header="0.3" footer="0.3"/>
  <pageSetup paperSize="8" scale="6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4:AB20"/>
  <sheetViews>
    <sheetView zoomScale="70" zoomScaleNormal="70" zoomScalePageLayoutView="70" workbookViewId="0">
      <selection activeCell="Z18" sqref="Z18"/>
    </sheetView>
  </sheetViews>
  <sheetFormatPr defaultColWidth="8.6640625" defaultRowHeight="14.4" x14ac:dyDescent="0.3"/>
  <cols>
    <col min="1" max="1" width="2.44140625" style="1" customWidth="1"/>
    <col min="2" max="2" width="11.33203125" style="1" customWidth="1"/>
    <col min="3" max="3" width="61.44140625" style="1" customWidth="1"/>
    <col min="4" max="4" width="15.44140625" style="1" bestFit="1" customWidth="1"/>
    <col min="5" max="5" width="17" style="1" customWidth="1"/>
    <col min="6" max="6" width="17" style="1" bestFit="1" customWidth="1"/>
    <col min="7" max="7" width="17.6640625" style="1" bestFit="1" customWidth="1"/>
    <col min="8" max="8" width="17.44140625" style="1" bestFit="1" customWidth="1"/>
    <col min="9" max="9" width="15" style="458" bestFit="1" customWidth="1"/>
    <col min="10" max="10" width="6.44140625" style="1" customWidth="1"/>
    <col min="11" max="15" width="14.44140625" style="1" bestFit="1" customWidth="1"/>
    <col min="16" max="19" width="17" style="1" hidden="1" customWidth="1"/>
    <col min="20" max="20" width="17" style="1" bestFit="1" customWidth="1"/>
    <col min="21" max="24" width="17" style="1" hidden="1" customWidth="1"/>
    <col min="25" max="25" width="17" style="1" bestFit="1" customWidth="1"/>
    <col min="26" max="26" width="17.6640625" style="1" bestFit="1" customWidth="1"/>
    <col min="27" max="27" width="8.6640625" style="1"/>
    <col min="28" max="28" width="12.5546875" style="1" bestFit="1" customWidth="1"/>
    <col min="29" max="256" width="8.6640625" style="1"/>
    <col min="257" max="257" width="2.44140625" style="1" customWidth="1"/>
    <col min="258" max="258" width="11.33203125" style="1" customWidth="1"/>
    <col min="259" max="259" width="61.44140625" style="1" customWidth="1"/>
    <col min="260" max="260" width="15.44140625" style="1" bestFit="1" customWidth="1"/>
    <col min="261" max="261" width="17" style="1" customWidth="1"/>
    <col min="262" max="262" width="17" style="1" bestFit="1" customWidth="1"/>
    <col min="263" max="263" width="17.6640625" style="1" bestFit="1" customWidth="1"/>
    <col min="264" max="264" width="17.44140625" style="1" bestFit="1" customWidth="1"/>
    <col min="265" max="265" width="15" style="1" bestFit="1" customWidth="1"/>
    <col min="266" max="266" width="6.44140625" style="1" customWidth="1"/>
    <col min="267" max="271" width="14.44140625" style="1" bestFit="1" customWidth="1"/>
    <col min="272" max="275" width="0" style="1" hidden="1" customWidth="1"/>
    <col min="276" max="276" width="17" style="1" bestFit="1" customWidth="1"/>
    <col min="277" max="280" width="0" style="1" hidden="1" customWidth="1"/>
    <col min="281" max="281" width="17" style="1" bestFit="1" customWidth="1"/>
    <col min="282" max="282" width="17.6640625" style="1" bestFit="1" customWidth="1"/>
    <col min="283" max="512" width="8.6640625" style="1"/>
    <col min="513" max="513" width="2.44140625" style="1" customWidth="1"/>
    <col min="514" max="514" width="11.33203125" style="1" customWidth="1"/>
    <col min="515" max="515" width="61.44140625" style="1" customWidth="1"/>
    <col min="516" max="516" width="15.44140625" style="1" bestFit="1" customWidth="1"/>
    <col min="517" max="517" width="17" style="1" customWidth="1"/>
    <col min="518" max="518" width="17" style="1" bestFit="1" customWidth="1"/>
    <col min="519" max="519" width="17.6640625" style="1" bestFit="1" customWidth="1"/>
    <col min="520" max="520" width="17.44140625" style="1" bestFit="1" customWidth="1"/>
    <col min="521" max="521" width="15" style="1" bestFit="1" customWidth="1"/>
    <col min="522" max="522" width="6.44140625" style="1" customWidth="1"/>
    <col min="523" max="527" width="14.44140625" style="1" bestFit="1" customWidth="1"/>
    <col min="528" max="531" width="0" style="1" hidden="1" customWidth="1"/>
    <col min="532" max="532" width="17" style="1" bestFit="1" customWidth="1"/>
    <col min="533" max="536" width="0" style="1" hidden="1" customWidth="1"/>
    <col min="537" max="537" width="17" style="1" bestFit="1" customWidth="1"/>
    <col min="538" max="538" width="17.6640625" style="1" bestFit="1" customWidth="1"/>
    <col min="539" max="768" width="8.6640625" style="1"/>
    <col min="769" max="769" width="2.44140625" style="1" customWidth="1"/>
    <col min="770" max="770" width="11.33203125" style="1" customWidth="1"/>
    <col min="771" max="771" width="61.44140625" style="1" customWidth="1"/>
    <col min="772" max="772" width="15.44140625" style="1" bestFit="1" customWidth="1"/>
    <col min="773" max="773" width="17" style="1" customWidth="1"/>
    <col min="774" max="774" width="17" style="1" bestFit="1" customWidth="1"/>
    <col min="775" max="775" width="17.6640625" style="1" bestFit="1" customWidth="1"/>
    <col min="776" max="776" width="17.44140625" style="1" bestFit="1" customWidth="1"/>
    <col min="777" max="777" width="15" style="1" bestFit="1" customWidth="1"/>
    <col min="778" max="778" width="6.44140625" style="1" customWidth="1"/>
    <col min="779" max="783" width="14.44140625" style="1" bestFit="1" customWidth="1"/>
    <col min="784" max="787" width="0" style="1" hidden="1" customWidth="1"/>
    <col min="788" max="788" width="17" style="1" bestFit="1" customWidth="1"/>
    <col min="789" max="792" width="0" style="1" hidden="1" customWidth="1"/>
    <col min="793" max="793" width="17" style="1" bestFit="1" customWidth="1"/>
    <col min="794" max="794" width="17.6640625" style="1" bestFit="1" customWidth="1"/>
    <col min="795" max="1024" width="8.6640625" style="1"/>
    <col min="1025" max="1025" width="2.44140625" style="1" customWidth="1"/>
    <col min="1026" max="1026" width="11.33203125" style="1" customWidth="1"/>
    <col min="1027" max="1027" width="61.44140625" style="1" customWidth="1"/>
    <col min="1028" max="1028" width="15.44140625" style="1" bestFit="1" customWidth="1"/>
    <col min="1029" max="1029" width="17" style="1" customWidth="1"/>
    <col min="1030" max="1030" width="17" style="1" bestFit="1" customWidth="1"/>
    <col min="1031" max="1031" width="17.6640625" style="1" bestFit="1" customWidth="1"/>
    <col min="1032" max="1032" width="17.44140625" style="1" bestFit="1" customWidth="1"/>
    <col min="1033" max="1033" width="15" style="1" bestFit="1" customWidth="1"/>
    <col min="1034" max="1034" width="6.44140625" style="1" customWidth="1"/>
    <col min="1035" max="1039" width="14.44140625" style="1" bestFit="1" customWidth="1"/>
    <col min="1040" max="1043" width="0" style="1" hidden="1" customWidth="1"/>
    <col min="1044" max="1044" width="17" style="1" bestFit="1" customWidth="1"/>
    <col min="1045" max="1048" width="0" style="1" hidden="1" customWidth="1"/>
    <col min="1049" max="1049" width="17" style="1" bestFit="1" customWidth="1"/>
    <col min="1050" max="1050" width="17.6640625" style="1" bestFit="1" customWidth="1"/>
    <col min="1051" max="1280" width="8.6640625" style="1"/>
    <col min="1281" max="1281" width="2.44140625" style="1" customWidth="1"/>
    <col min="1282" max="1282" width="11.33203125" style="1" customWidth="1"/>
    <col min="1283" max="1283" width="61.44140625" style="1" customWidth="1"/>
    <col min="1284" max="1284" width="15.44140625" style="1" bestFit="1" customWidth="1"/>
    <col min="1285" max="1285" width="17" style="1" customWidth="1"/>
    <col min="1286" max="1286" width="17" style="1" bestFit="1" customWidth="1"/>
    <col min="1287" max="1287" width="17.6640625" style="1" bestFit="1" customWidth="1"/>
    <col min="1288" max="1288" width="17.44140625" style="1" bestFit="1" customWidth="1"/>
    <col min="1289" max="1289" width="15" style="1" bestFit="1" customWidth="1"/>
    <col min="1290" max="1290" width="6.44140625" style="1" customWidth="1"/>
    <col min="1291" max="1295" width="14.44140625" style="1" bestFit="1" customWidth="1"/>
    <col min="1296" max="1299" width="0" style="1" hidden="1" customWidth="1"/>
    <col min="1300" max="1300" width="17" style="1" bestFit="1" customWidth="1"/>
    <col min="1301" max="1304" width="0" style="1" hidden="1" customWidth="1"/>
    <col min="1305" max="1305" width="17" style="1" bestFit="1" customWidth="1"/>
    <col min="1306" max="1306" width="17.6640625" style="1" bestFit="1" customWidth="1"/>
    <col min="1307" max="1536" width="8.6640625" style="1"/>
    <col min="1537" max="1537" width="2.44140625" style="1" customWidth="1"/>
    <col min="1538" max="1538" width="11.33203125" style="1" customWidth="1"/>
    <col min="1539" max="1539" width="61.44140625" style="1" customWidth="1"/>
    <col min="1540" max="1540" width="15.44140625" style="1" bestFit="1" customWidth="1"/>
    <col min="1541" max="1541" width="17" style="1" customWidth="1"/>
    <col min="1542" max="1542" width="17" style="1" bestFit="1" customWidth="1"/>
    <col min="1543" max="1543" width="17.6640625" style="1" bestFit="1" customWidth="1"/>
    <col min="1544" max="1544" width="17.44140625" style="1" bestFit="1" customWidth="1"/>
    <col min="1545" max="1545" width="15" style="1" bestFit="1" customWidth="1"/>
    <col min="1546" max="1546" width="6.44140625" style="1" customWidth="1"/>
    <col min="1547" max="1551" width="14.44140625" style="1" bestFit="1" customWidth="1"/>
    <col min="1552" max="1555" width="0" style="1" hidden="1" customWidth="1"/>
    <col min="1556" max="1556" width="17" style="1" bestFit="1" customWidth="1"/>
    <col min="1557" max="1560" width="0" style="1" hidden="1" customWidth="1"/>
    <col min="1561" max="1561" width="17" style="1" bestFit="1" customWidth="1"/>
    <col min="1562" max="1562" width="17.6640625" style="1" bestFit="1" customWidth="1"/>
    <col min="1563" max="1792" width="8.6640625" style="1"/>
    <col min="1793" max="1793" width="2.44140625" style="1" customWidth="1"/>
    <col min="1794" max="1794" width="11.33203125" style="1" customWidth="1"/>
    <col min="1795" max="1795" width="61.44140625" style="1" customWidth="1"/>
    <col min="1796" max="1796" width="15.44140625" style="1" bestFit="1" customWidth="1"/>
    <col min="1797" max="1797" width="17" style="1" customWidth="1"/>
    <col min="1798" max="1798" width="17" style="1" bestFit="1" customWidth="1"/>
    <col min="1799" max="1799" width="17.6640625" style="1" bestFit="1" customWidth="1"/>
    <col min="1800" max="1800" width="17.44140625" style="1" bestFit="1" customWidth="1"/>
    <col min="1801" max="1801" width="15" style="1" bestFit="1" customWidth="1"/>
    <col min="1802" max="1802" width="6.44140625" style="1" customWidth="1"/>
    <col min="1803" max="1807" width="14.44140625" style="1" bestFit="1" customWidth="1"/>
    <col min="1808" max="1811" width="0" style="1" hidden="1" customWidth="1"/>
    <col min="1812" max="1812" width="17" style="1" bestFit="1" customWidth="1"/>
    <col min="1813" max="1816" width="0" style="1" hidden="1" customWidth="1"/>
    <col min="1817" max="1817" width="17" style="1" bestFit="1" customWidth="1"/>
    <col min="1818" max="1818" width="17.6640625" style="1" bestFit="1" customWidth="1"/>
    <col min="1819" max="2048" width="8.6640625" style="1"/>
    <col min="2049" max="2049" width="2.44140625" style="1" customWidth="1"/>
    <col min="2050" max="2050" width="11.33203125" style="1" customWidth="1"/>
    <col min="2051" max="2051" width="61.44140625" style="1" customWidth="1"/>
    <col min="2052" max="2052" width="15.44140625" style="1" bestFit="1" customWidth="1"/>
    <col min="2053" max="2053" width="17" style="1" customWidth="1"/>
    <col min="2054" max="2054" width="17" style="1" bestFit="1" customWidth="1"/>
    <col min="2055" max="2055" width="17.6640625" style="1" bestFit="1" customWidth="1"/>
    <col min="2056" max="2056" width="17.44140625" style="1" bestFit="1" customWidth="1"/>
    <col min="2057" max="2057" width="15" style="1" bestFit="1" customWidth="1"/>
    <col min="2058" max="2058" width="6.44140625" style="1" customWidth="1"/>
    <col min="2059" max="2063" width="14.44140625" style="1" bestFit="1" customWidth="1"/>
    <col min="2064" max="2067" width="0" style="1" hidden="1" customWidth="1"/>
    <col min="2068" max="2068" width="17" style="1" bestFit="1" customWidth="1"/>
    <col min="2069" max="2072" width="0" style="1" hidden="1" customWidth="1"/>
    <col min="2073" max="2073" width="17" style="1" bestFit="1" customWidth="1"/>
    <col min="2074" max="2074" width="17.6640625" style="1" bestFit="1" customWidth="1"/>
    <col min="2075" max="2304" width="8.6640625" style="1"/>
    <col min="2305" max="2305" width="2.44140625" style="1" customWidth="1"/>
    <col min="2306" max="2306" width="11.33203125" style="1" customWidth="1"/>
    <col min="2307" max="2307" width="61.44140625" style="1" customWidth="1"/>
    <col min="2308" max="2308" width="15.44140625" style="1" bestFit="1" customWidth="1"/>
    <col min="2309" max="2309" width="17" style="1" customWidth="1"/>
    <col min="2310" max="2310" width="17" style="1" bestFit="1" customWidth="1"/>
    <col min="2311" max="2311" width="17.6640625" style="1" bestFit="1" customWidth="1"/>
    <col min="2312" max="2312" width="17.44140625" style="1" bestFit="1" customWidth="1"/>
    <col min="2313" max="2313" width="15" style="1" bestFit="1" customWidth="1"/>
    <col min="2314" max="2314" width="6.44140625" style="1" customWidth="1"/>
    <col min="2315" max="2319" width="14.44140625" style="1" bestFit="1" customWidth="1"/>
    <col min="2320" max="2323" width="0" style="1" hidden="1" customWidth="1"/>
    <col min="2324" max="2324" width="17" style="1" bestFit="1" customWidth="1"/>
    <col min="2325" max="2328" width="0" style="1" hidden="1" customWidth="1"/>
    <col min="2329" max="2329" width="17" style="1" bestFit="1" customWidth="1"/>
    <col min="2330" max="2330" width="17.6640625" style="1" bestFit="1" customWidth="1"/>
    <col min="2331" max="2560" width="8.6640625" style="1"/>
    <col min="2561" max="2561" width="2.44140625" style="1" customWidth="1"/>
    <col min="2562" max="2562" width="11.33203125" style="1" customWidth="1"/>
    <col min="2563" max="2563" width="61.44140625" style="1" customWidth="1"/>
    <col min="2564" max="2564" width="15.44140625" style="1" bestFit="1" customWidth="1"/>
    <col min="2565" max="2565" width="17" style="1" customWidth="1"/>
    <col min="2566" max="2566" width="17" style="1" bestFit="1" customWidth="1"/>
    <col min="2567" max="2567" width="17.6640625" style="1" bestFit="1" customWidth="1"/>
    <col min="2568" max="2568" width="17.44140625" style="1" bestFit="1" customWidth="1"/>
    <col min="2569" max="2569" width="15" style="1" bestFit="1" customWidth="1"/>
    <col min="2570" max="2570" width="6.44140625" style="1" customWidth="1"/>
    <col min="2571" max="2575" width="14.44140625" style="1" bestFit="1" customWidth="1"/>
    <col min="2576" max="2579" width="0" style="1" hidden="1" customWidth="1"/>
    <col min="2580" max="2580" width="17" style="1" bestFit="1" customWidth="1"/>
    <col min="2581" max="2584" width="0" style="1" hidden="1" customWidth="1"/>
    <col min="2585" max="2585" width="17" style="1" bestFit="1" customWidth="1"/>
    <col min="2586" max="2586" width="17.6640625" style="1" bestFit="1" customWidth="1"/>
    <col min="2587" max="2816" width="8.6640625" style="1"/>
    <col min="2817" max="2817" width="2.44140625" style="1" customWidth="1"/>
    <col min="2818" max="2818" width="11.33203125" style="1" customWidth="1"/>
    <col min="2819" max="2819" width="61.44140625" style="1" customWidth="1"/>
    <col min="2820" max="2820" width="15.44140625" style="1" bestFit="1" customWidth="1"/>
    <col min="2821" max="2821" width="17" style="1" customWidth="1"/>
    <col min="2822" max="2822" width="17" style="1" bestFit="1" customWidth="1"/>
    <col min="2823" max="2823" width="17.6640625" style="1" bestFit="1" customWidth="1"/>
    <col min="2824" max="2824" width="17.44140625" style="1" bestFit="1" customWidth="1"/>
    <col min="2825" max="2825" width="15" style="1" bestFit="1" customWidth="1"/>
    <col min="2826" max="2826" width="6.44140625" style="1" customWidth="1"/>
    <col min="2827" max="2831" width="14.44140625" style="1" bestFit="1" customWidth="1"/>
    <col min="2832" max="2835" width="0" style="1" hidden="1" customWidth="1"/>
    <col min="2836" max="2836" width="17" style="1" bestFit="1" customWidth="1"/>
    <col min="2837" max="2840" width="0" style="1" hidden="1" customWidth="1"/>
    <col min="2841" max="2841" width="17" style="1" bestFit="1" customWidth="1"/>
    <col min="2842" max="2842" width="17.6640625" style="1" bestFit="1" customWidth="1"/>
    <col min="2843" max="3072" width="8.6640625" style="1"/>
    <col min="3073" max="3073" width="2.44140625" style="1" customWidth="1"/>
    <col min="3074" max="3074" width="11.33203125" style="1" customWidth="1"/>
    <col min="3075" max="3075" width="61.44140625" style="1" customWidth="1"/>
    <col min="3076" max="3076" width="15.44140625" style="1" bestFit="1" customWidth="1"/>
    <col min="3077" max="3077" width="17" style="1" customWidth="1"/>
    <col min="3078" max="3078" width="17" style="1" bestFit="1" customWidth="1"/>
    <col min="3079" max="3079" width="17.6640625" style="1" bestFit="1" customWidth="1"/>
    <col min="3080" max="3080" width="17.44140625" style="1" bestFit="1" customWidth="1"/>
    <col min="3081" max="3081" width="15" style="1" bestFit="1" customWidth="1"/>
    <col min="3082" max="3082" width="6.44140625" style="1" customWidth="1"/>
    <col min="3083" max="3087" width="14.44140625" style="1" bestFit="1" customWidth="1"/>
    <col min="3088" max="3091" width="0" style="1" hidden="1" customWidth="1"/>
    <col min="3092" max="3092" width="17" style="1" bestFit="1" customWidth="1"/>
    <col min="3093" max="3096" width="0" style="1" hidden="1" customWidth="1"/>
    <col min="3097" max="3097" width="17" style="1" bestFit="1" customWidth="1"/>
    <col min="3098" max="3098" width="17.6640625" style="1" bestFit="1" customWidth="1"/>
    <col min="3099" max="3328" width="8.6640625" style="1"/>
    <col min="3329" max="3329" width="2.44140625" style="1" customWidth="1"/>
    <col min="3330" max="3330" width="11.33203125" style="1" customWidth="1"/>
    <col min="3331" max="3331" width="61.44140625" style="1" customWidth="1"/>
    <col min="3332" max="3332" width="15.44140625" style="1" bestFit="1" customWidth="1"/>
    <col min="3333" max="3333" width="17" style="1" customWidth="1"/>
    <col min="3334" max="3334" width="17" style="1" bestFit="1" customWidth="1"/>
    <col min="3335" max="3335" width="17.6640625" style="1" bestFit="1" customWidth="1"/>
    <col min="3336" max="3336" width="17.44140625" style="1" bestFit="1" customWidth="1"/>
    <col min="3337" max="3337" width="15" style="1" bestFit="1" customWidth="1"/>
    <col min="3338" max="3338" width="6.44140625" style="1" customWidth="1"/>
    <col min="3339" max="3343" width="14.44140625" style="1" bestFit="1" customWidth="1"/>
    <col min="3344" max="3347" width="0" style="1" hidden="1" customWidth="1"/>
    <col min="3348" max="3348" width="17" style="1" bestFit="1" customWidth="1"/>
    <col min="3349" max="3352" width="0" style="1" hidden="1" customWidth="1"/>
    <col min="3353" max="3353" width="17" style="1" bestFit="1" customWidth="1"/>
    <col min="3354" max="3354" width="17.6640625" style="1" bestFit="1" customWidth="1"/>
    <col min="3355" max="3584" width="8.6640625" style="1"/>
    <col min="3585" max="3585" width="2.44140625" style="1" customWidth="1"/>
    <col min="3586" max="3586" width="11.33203125" style="1" customWidth="1"/>
    <col min="3587" max="3587" width="61.44140625" style="1" customWidth="1"/>
    <col min="3588" max="3588" width="15.44140625" style="1" bestFit="1" customWidth="1"/>
    <col min="3589" max="3589" width="17" style="1" customWidth="1"/>
    <col min="3590" max="3590" width="17" style="1" bestFit="1" customWidth="1"/>
    <col min="3591" max="3591" width="17.6640625" style="1" bestFit="1" customWidth="1"/>
    <col min="3592" max="3592" width="17.44140625" style="1" bestFit="1" customWidth="1"/>
    <col min="3593" max="3593" width="15" style="1" bestFit="1" customWidth="1"/>
    <col min="3594" max="3594" width="6.44140625" style="1" customWidth="1"/>
    <col min="3595" max="3599" width="14.44140625" style="1" bestFit="1" customWidth="1"/>
    <col min="3600" max="3603" width="0" style="1" hidden="1" customWidth="1"/>
    <col min="3604" max="3604" width="17" style="1" bestFit="1" customWidth="1"/>
    <col min="3605" max="3608" width="0" style="1" hidden="1" customWidth="1"/>
    <col min="3609" max="3609" width="17" style="1" bestFit="1" customWidth="1"/>
    <col min="3610" max="3610" width="17.6640625" style="1" bestFit="1" customWidth="1"/>
    <col min="3611" max="3840" width="8.6640625" style="1"/>
    <col min="3841" max="3841" width="2.44140625" style="1" customWidth="1"/>
    <col min="3842" max="3842" width="11.33203125" style="1" customWidth="1"/>
    <col min="3843" max="3843" width="61.44140625" style="1" customWidth="1"/>
    <col min="3844" max="3844" width="15.44140625" style="1" bestFit="1" customWidth="1"/>
    <col min="3845" max="3845" width="17" style="1" customWidth="1"/>
    <col min="3846" max="3846" width="17" style="1" bestFit="1" customWidth="1"/>
    <col min="3847" max="3847" width="17.6640625" style="1" bestFit="1" customWidth="1"/>
    <col min="3848" max="3848" width="17.44140625" style="1" bestFit="1" customWidth="1"/>
    <col min="3849" max="3849" width="15" style="1" bestFit="1" customWidth="1"/>
    <col min="3850" max="3850" width="6.44140625" style="1" customWidth="1"/>
    <col min="3851" max="3855" width="14.44140625" style="1" bestFit="1" customWidth="1"/>
    <col min="3856" max="3859" width="0" style="1" hidden="1" customWidth="1"/>
    <col min="3860" max="3860" width="17" style="1" bestFit="1" customWidth="1"/>
    <col min="3861" max="3864" width="0" style="1" hidden="1" customWidth="1"/>
    <col min="3865" max="3865" width="17" style="1" bestFit="1" customWidth="1"/>
    <col min="3866" max="3866" width="17.6640625" style="1" bestFit="1" customWidth="1"/>
    <col min="3867" max="4096" width="8.6640625" style="1"/>
    <col min="4097" max="4097" width="2.44140625" style="1" customWidth="1"/>
    <col min="4098" max="4098" width="11.33203125" style="1" customWidth="1"/>
    <col min="4099" max="4099" width="61.44140625" style="1" customWidth="1"/>
    <col min="4100" max="4100" width="15.44140625" style="1" bestFit="1" customWidth="1"/>
    <col min="4101" max="4101" width="17" style="1" customWidth="1"/>
    <col min="4102" max="4102" width="17" style="1" bestFit="1" customWidth="1"/>
    <col min="4103" max="4103" width="17.6640625" style="1" bestFit="1" customWidth="1"/>
    <col min="4104" max="4104" width="17.44140625" style="1" bestFit="1" customWidth="1"/>
    <col min="4105" max="4105" width="15" style="1" bestFit="1" customWidth="1"/>
    <col min="4106" max="4106" width="6.44140625" style="1" customWidth="1"/>
    <col min="4107" max="4111" width="14.44140625" style="1" bestFit="1" customWidth="1"/>
    <col min="4112" max="4115" width="0" style="1" hidden="1" customWidth="1"/>
    <col min="4116" max="4116" width="17" style="1" bestFit="1" customWidth="1"/>
    <col min="4117" max="4120" width="0" style="1" hidden="1" customWidth="1"/>
    <col min="4121" max="4121" width="17" style="1" bestFit="1" customWidth="1"/>
    <col min="4122" max="4122" width="17.6640625" style="1" bestFit="1" customWidth="1"/>
    <col min="4123" max="4352" width="8.6640625" style="1"/>
    <col min="4353" max="4353" width="2.44140625" style="1" customWidth="1"/>
    <col min="4354" max="4354" width="11.33203125" style="1" customWidth="1"/>
    <col min="4355" max="4355" width="61.44140625" style="1" customWidth="1"/>
    <col min="4356" max="4356" width="15.44140625" style="1" bestFit="1" customWidth="1"/>
    <col min="4357" max="4357" width="17" style="1" customWidth="1"/>
    <col min="4358" max="4358" width="17" style="1" bestFit="1" customWidth="1"/>
    <col min="4359" max="4359" width="17.6640625" style="1" bestFit="1" customWidth="1"/>
    <col min="4360" max="4360" width="17.44140625" style="1" bestFit="1" customWidth="1"/>
    <col min="4361" max="4361" width="15" style="1" bestFit="1" customWidth="1"/>
    <col min="4362" max="4362" width="6.44140625" style="1" customWidth="1"/>
    <col min="4363" max="4367" width="14.44140625" style="1" bestFit="1" customWidth="1"/>
    <col min="4368" max="4371" width="0" style="1" hidden="1" customWidth="1"/>
    <col min="4372" max="4372" width="17" style="1" bestFit="1" customWidth="1"/>
    <col min="4373" max="4376" width="0" style="1" hidden="1" customWidth="1"/>
    <col min="4377" max="4377" width="17" style="1" bestFit="1" customWidth="1"/>
    <col min="4378" max="4378" width="17.6640625" style="1" bestFit="1" customWidth="1"/>
    <col min="4379" max="4608" width="8.6640625" style="1"/>
    <col min="4609" max="4609" width="2.44140625" style="1" customWidth="1"/>
    <col min="4610" max="4610" width="11.33203125" style="1" customWidth="1"/>
    <col min="4611" max="4611" width="61.44140625" style="1" customWidth="1"/>
    <col min="4612" max="4612" width="15.44140625" style="1" bestFit="1" customWidth="1"/>
    <col min="4613" max="4613" width="17" style="1" customWidth="1"/>
    <col min="4614" max="4614" width="17" style="1" bestFit="1" customWidth="1"/>
    <col min="4615" max="4615" width="17.6640625" style="1" bestFit="1" customWidth="1"/>
    <col min="4616" max="4616" width="17.44140625" style="1" bestFit="1" customWidth="1"/>
    <col min="4617" max="4617" width="15" style="1" bestFit="1" customWidth="1"/>
    <col min="4618" max="4618" width="6.44140625" style="1" customWidth="1"/>
    <col min="4619" max="4623" width="14.44140625" style="1" bestFit="1" customWidth="1"/>
    <col min="4624" max="4627" width="0" style="1" hidden="1" customWidth="1"/>
    <col min="4628" max="4628" width="17" style="1" bestFit="1" customWidth="1"/>
    <col min="4629" max="4632" width="0" style="1" hidden="1" customWidth="1"/>
    <col min="4633" max="4633" width="17" style="1" bestFit="1" customWidth="1"/>
    <col min="4634" max="4634" width="17.6640625" style="1" bestFit="1" customWidth="1"/>
    <col min="4635" max="4864" width="8.6640625" style="1"/>
    <col min="4865" max="4865" width="2.44140625" style="1" customWidth="1"/>
    <col min="4866" max="4866" width="11.33203125" style="1" customWidth="1"/>
    <col min="4867" max="4867" width="61.44140625" style="1" customWidth="1"/>
    <col min="4868" max="4868" width="15.44140625" style="1" bestFit="1" customWidth="1"/>
    <col min="4869" max="4869" width="17" style="1" customWidth="1"/>
    <col min="4870" max="4870" width="17" style="1" bestFit="1" customWidth="1"/>
    <col min="4871" max="4871" width="17.6640625" style="1" bestFit="1" customWidth="1"/>
    <col min="4872" max="4872" width="17.44140625" style="1" bestFit="1" customWidth="1"/>
    <col min="4873" max="4873" width="15" style="1" bestFit="1" customWidth="1"/>
    <col min="4874" max="4874" width="6.44140625" style="1" customWidth="1"/>
    <col min="4875" max="4879" width="14.44140625" style="1" bestFit="1" customWidth="1"/>
    <col min="4880" max="4883" width="0" style="1" hidden="1" customWidth="1"/>
    <col min="4884" max="4884" width="17" style="1" bestFit="1" customWidth="1"/>
    <col min="4885" max="4888" width="0" style="1" hidden="1" customWidth="1"/>
    <col min="4889" max="4889" width="17" style="1" bestFit="1" customWidth="1"/>
    <col min="4890" max="4890" width="17.6640625" style="1" bestFit="1" customWidth="1"/>
    <col min="4891" max="5120" width="8.6640625" style="1"/>
    <col min="5121" max="5121" width="2.44140625" style="1" customWidth="1"/>
    <col min="5122" max="5122" width="11.33203125" style="1" customWidth="1"/>
    <col min="5123" max="5123" width="61.44140625" style="1" customWidth="1"/>
    <col min="5124" max="5124" width="15.44140625" style="1" bestFit="1" customWidth="1"/>
    <col min="5125" max="5125" width="17" style="1" customWidth="1"/>
    <col min="5126" max="5126" width="17" style="1" bestFit="1" customWidth="1"/>
    <col min="5127" max="5127" width="17.6640625" style="1" bestFit="1" customWidth="1"/>
    <col min="5128" max="5128" width="17.44140625" style="1" bestFit="1" customWidth="1"/>
    <col min="5129" max="5129" width="15" style="1" bestFit="1" customWidth="1"/>
    <col min="5130" max="5130" width="6.44140625" style="1" customWidth="1"/>
    <col min="5131" max="5135" width="14.44140625" style="1" bestFit="1" customWidth="1"/>
    <col min="5136" max="5139" width="0" style="1" hidden="1" customWidth="1"/>
    <col min="5140" max="5140" width="17" style="1" bestFit="1" customWidth="1"/>
    <col min="5141" max="5144" width="0" style="1" hidden="1" customWidth="1"/>
    <col min="5145" max="5145" width="17" style="1" bestFit="1" customWidth="1"/>
    <col min="5146" max="5146" width="17.6640625" style="1" bestFit="1" customWidth="1"/>
    <col min="5147" max="5376" width="8.6640625" style="1"/>
    <col min="5377" max="5377" width="2.44140625" style="1" customWidth="1"/>
    <col min="5378" max="5378" width="11.33203125" style="1" customWidth="1"/>
    <col min="5379" max="5379" width="61.44140625" style="1" customWidth="1"/>
    <col min="5380" max="5380" width="15.44140625" style="1" bestFit="1" customWidth="1"/>
    <col min="5381" max="5381" width="17" style="1" customWidth="1"/>
    <col min="5382" max="5382" width="17" style="1" bestFit="1" customWidth="1"/>
    <col min="5383" max="5383" width="17.6640625" style="1" bestFit="1" customWidth="1"/>
    <col min="5384" max="5384" width="17.44140625" style="1" bestFit="1" customWidth="1"/>
    <col min="5385" max="5385" width="15" style="1" bestFit="1" customWidth="1"/>
    <col min="5386" max="5386" width="6.44140625" style="1" customWidth="1"/>
    <col min="5387" max="5391" width="14.44140625" style="1" bestFit="1" customWidth="1"/>
    <col min="5392" max="5395" width="0" style="1" hidden="1" customWidth="1"/>
    <col min="5396" max="5396" width="17" style="1" bestFit="1" customWidth="1"/>
    <col min="5397" max="5400" width="0" style="1" hidden="1" customWidth="1"/>
    <col min="5401" max="5401" width="17" style="1" bestFit="1" customWidth="1"/>
    <col min="5402" max="5402" width="17.6640625" style="1" bestFit="1" customWidth="1"/>
    <col min="5403" max="5632" width="8.6640625" style="1"/>
    <col min="5633" max="5633" width="2.44140625" style="1" customWidth="1"/>
    <col min="5634" max="5634" width="11.33203125" style="1" customWidth="1"/>
    <col min="5635" max="5635" width="61.44140625" style="1" customWidth="1"/>
    <col min="5636" max="5636" width="15.44140625" style="1" bestFit="1" customWidth="1"/>
    <col min="5637" max="5637" width="17" style="1" customWidth="1"/>
    <col min="5638" max="5638" width="17" style="1" bestFit="1" customWidth="1"/>
    <col min="5639" max="5639" width="17.6640625" style="1" bestFit="1" customWidth="1"/>
    <col min="5640" max="5640" width="17.44140625" style="1" bestFit="1" customWidth="1"/>
    <col min="5641" max="5641" width="15" style="1" bestFit="1" customWidth="1"/>
    <col min="5642" max="5642" width="6.44140625" style="1" customWidth="1"/>
    <col min="5643" max="5647" width="14.44140625" style="1" bestFit="1" customWidth="1"/>
    <col min="5648" max="5651" width="0" style="1" hidden="1" customWidth="1"/>
    <col min="5652" max="5652" width="17" style="1" bestFit="1" customWidth="1"/>
    <col min="5653" max="5656" width="0" style="1" hidden="1" customWidth="1"/>
    <col min="5657" max="5657" width="17" style="1" bestFit="1" customWidth="1"/>
    <col min="5658" max="5658" width="17.6640625" style="1" bestFit="1" customWidth="1"/>
    <col min="5659" max="5888" width="8.6640625" style="1"/>
    <col min="5889" max="5889" width="2.44140625" style="1" customWidth="1"/>
    <col min="5890" max="5890" width="11.33203125" style="1" customWidth="1"/>
    <col min="5891" max="5891" width="61.44140625" style="1" customWidth="1"/>
    <col min="5892" max="5892" width="15.44140625" style="1" bestFit="1" customWidth="1"/>
    <col min="5893" max="5893" width="17" style="1" customWidth="1"/>
    <col min="5894" max="5894" width="17" style="1" bestFit="1" customWidth="1"/>
    <col min="5895" max="5895" width="17.6640625" style="1" bestFit="1" customWidth="1"/>
    <col min="5896" max="5896" width="17.44140625" style="1" bestFit="1" customWidth="1"/>
    <col min="5897" max="5897" width="15" style="1" bestFit="1" customWidth="1"/>
    <col min="5898" max="5898" width="6.44140625" style="1" customWidth="1"/>
    <col min="5899" max="5903" width="14.44140625" style="1" bestFit="1" customWidth="1"/>
    <col min="5904" max="5907" width="0" style="1" hidden="1" customWidth="1"/>
    <col min="5908" max="5908" width="17" style="1" bestFit="1" customWidth="1"/>
    <col min="5909" max="5912" width="0" style="1" hidden="1" customWidth="1"/>
    <col min="5913" max="5913" width="17" style="1" bestFit="1" customWidth="1"/>
    <col min="5914" max="5914" width="17.6640625" style="1" bestFit="1" customWidth="1"/>
    <col min="5915" max="6144" width="8.6640625" style="1"/>
    <col min="6145" max="6145" width="2.44140625" style="1" customWidth="1"/>
    <col min="6146" max="6146" width="11.33203125" style="1" customWidth="1"/>
    <col min="6147" max="6147" width="61.44140625" style="1" customWidth="1"/>
    <col min="6148" max="6148" width="15.44140625" style="1" bestFit="1" customWidth="1"/>
    <col min="6149" max="6149" width="17" style="1" customWidth="1"/>
    <col min="6150" max="6150" width="17" style="1" bestFit="1" customWidth="1"/>
    <col min="6151" max="6151" width="17.6640625" style="1" bestFit="1" customWidth="1"/>
    <col min="6152" max="6152" width="17.44140625" style="1" bestFit="1" customWidth="1"/>
    <col min="6153" max="6153" width="15" style="1" bestFit="1" customWidth="1"/>
    <col min="6154" max="6154" width="6.44140625" style="1" customWidth="1"/>
    <col min="6155" max="6159" width="14.44140625" style="1" bestFit="1" customWidth="1"/>
    <col min="6160" max="6163" width="0" style="1" hidden="1" customWidth="1"/>
    <col min="6164" max="6164" width="17" style="1" bestFit="1" customWidth="1"/>
    <col min="6165" max="6168" width="0" style="1" hidden="1" customWidth="1"/>
    <col min="6169" max="6169" width="17" style="1" bestFit="1" customWidth="1"/>
    <col min="6170" max="6170" width="17.6640625" style="1" bestFit="1" customWidth="1"/>
    <col min="6171" max="6400" width="8.6640625" style="1"/>
    <col min="6401" max="6401" width="2.44140625" style="1" customWidth="1"/>
    <col min="6402" max="6402" width="11.33203125" style="1" customWidth="1"/>
    <col min="6403" max="6403" width="61.44140625" style="1" customWidth="1"/>
    <col min="6404" max="6404" width="15.44140625" style="1" bestFit="1" customWidth="1"/>
    <col min="6405" max="6405" width="17" style="1" customWidth="1"/>
    <col min="6406" max="6406" width="17" style="1" bestFit="1" customWidth="1"/>
    <col min="6407" max="6407" width="17.6640625" style="1" bestFit="1" customWidth="1"/>
    <col min="6408" max="6408" width="17.44140625" style="1" bestFit="1" customWidth="1"/>
    <col min="6409" max="6409" width="15" style="1" bestFit="1" customWidth="1"/>
    <col min="6410" max="6410" width="6.44140625" style="1" customWidth="1"/>
    <col min="6411" max="6415" width="14.44140625" style="1" bestFit="1" customWidth="1"/>
    <col min="6416" max="6419" width="0" style="1" hidden="1" customWidth="1"/>
    <col min="6420" max="6420" width="17" style="1" bestFit="1" customWidth="1"/>
    <col min="6421" max="6424" width="0" style="1" hidden="1" customWidth="1"/>
    <col min="6425" max="6425" width="17" style="1" bestFit="1" customWidth="1"/>
    <col min="6426" max="6426" width="17.6640625" style="1" bestFit="1" customWidth="1"/>
    <col min="6427" max="6656" width="8.6640625" style="1"/>
    <col min="6657" max="6657" width="2.44140625" style="1" customWidth="1"/>
    <col min="6658" max="6658" width="11.33203125" style="1" customWidth="1"/>
    <col min="6659" max="6659" width="61.44140625" style="1" customWidth="1"/>
    <col min="6660" max="6660" width="15.44140625" style="1" bestFit="1" customWidth="1"/>
    <col min="6661" max="6661" width="17" style="1" customWidth="1"/>
    <col min="6662" max="6662" width="17" style="1" bestFit="1" customWidth="1"/>
    <col min="6663" max="6663" width="17.6640625" style="1" bestFit="1" customWidth="1"/>
    <col min="6664" max="6664" width="17.44140625" style="1" bestFit="1" customWidth="1"/>
    <col min="6665" max="6665" width="15" style="1" bestFit="1" customWidth="1"/>
    <col min="6666" max="6666" width="6.44140625" style="1" customWidth="1"/>
    <col min="6667" max="6671" width="14.44140625" style="1" bestFit="1" customWidth="1"/>
    <col min="6672" max="6675" width="0" style="1" hidden="1" customWidth="1"/>
    <col min="6676" max="6676" width="17" style="1" bestFit="1" customWidth="1"/>
    <col min="6677" max="6680" width="0" style="1" hidden="1" customWidth="1"/>
    <col min="6681" max="6681" width="17" style="1" bestFit="1" customWidth="1"/>
    <col min="6682" max="6682" width="17.6640625" style="1" bestFit="1" customWidth="1"/>
    <col min="6683" max="6912" width="8.6640625" style="1"/>
    <col min="6913" max="6913" width="2.44140625" style="1" customWidth="1"/>
    <col min="6914" max="6914" width="11.33203125" style="1" customWidth="1"/>
    <col min="6915" max="6915" width="61.44140625" style="1" customWidth="1"/>
    <col min="6916" max="6916" width="15.44140625" style="1" bestFit="1" customWidth="1"/>
    <col min="6917" max="6917" width="17" style="1" customWidth="1"/>
    <col min="6918" max="6918" width="17" style="1" bestFit="1" customWidth="1"/>
    <col min="6919" max="6919" width="17.6640625" style="1" bestFit="1" customWidth="1"/>
    <col min="6920" max="6920" width="17.44140625" style="1" bestFit="1" customWidth="1"/>
    <col min="6921" max="6921" width="15" style="1" bestFit="1" customWidth="1"/>
    <col min="6922" max="6922" width="6.44140625" style="1" customWidth="1"/>
    <col min="6923" max="6927" width="14.44140625" style="1" bestFit="1" customWidth="1"/>
    <col min="6928" max="6931" width="0" style="1" hidden="1" customWidth="1"/>
    <col min="6932" max="6932" width="17" style="1" bestFit="1" customWidth="1"/>
    <col min="6933" max="6936" width="0" style="1" hidden="1" customWidth="1"/>
    <col min="6937" max="6937" width="17" style="1" bestFit="1" customWidth="1"/>
    <col min="6938" max="6938" width="17.6640625" style="1" bestFit="1" customWidth="1"/>
    <col min="6939" max="7168" width="8.6640625" style="1"/>
    <col min="7169" max="7169" width="2.44140625" style="1" customWidth="1"/>
    <col min="7170" max="7170" width="11.33203125" style="1" customWidth="1"/>
    <col min="7171" max="7171" width="61.44140625" style="1" customWidth="1"/>
    <col min="7172" max="7172" width="15.44140625" style="1" bestFit="1" customWidth="1"/>
    <col min="7173" max="7173" width="17" style="1" customWidth="1"/>
    <col min="7174" max="7174" width="17" style="1" bestFit="1" customWidth="1"/>
    <col min="7175" max="7175" width="17.6640625" style="1" bestFit="1" customWidth="1"/>
    <col min="7176" max="7176" width="17.44140625" style="1" bestFit="1" customWidth="1"/>
    <col min="7177" max="7177" width="15" style="1" bestFit="1" customWidth="1"/>
    <col min="7178" max="7178" width="6.44140625" style="1" customWidth="1"/>
    <col min="7179" max="7183" width="14.44140625" style="1" bestFit="1" customWidth="1"/>
    <col min="7184" max="7187" width="0" style="1" hidden="1" customWidth="1"/>
    <col min="7188" max="7188" width="17" style="1" bestFit="1" customWidth="1"/>
    <col min="7189" max="7192" width="0" style="1" hidden="1" customWidth="1"/>
    <col min="7193" max="7193" width="17" style="1" bestFit="1" customWidth="1"/>
    <col min="7194" max="7194" width="17.6640625" style="1" bestFit="1" customWidth="1"/>
    <col min="7195" max="7424" width="8.6640625" style="1"/>
    <col min="7425" max="7425" width="2.44140625" style="1" customWidth="1"/>
    <col min="7426" max="7426" width="11.33203125" style="1" customWidth="1"/>
    <col min="7427" max="7427" width="61.44140625" style="1" customWidth="1"/>
    <col min="7428" max="7428" width="15.44140625" style="1" bestFit="1" customWidth="1"/>
    <col min="7429" max="7429" width="17" style="1" customWidth="1"/>
    <col min="7430" max="7430" width="17" style="1" bestFit="1" customWidth="1"/>
    <col min="7431" max="7431" width="17.6640625" style="1" bestFit="1" customWidth="1"/>
    <col min="7432" max="7432" width="17.44140625" style="1" bestFit="1" customWidth="1"/>
    <col min="7433" max="7433" width="15" style="1" bestFit="1" customWidth="1"/>
    <col min="7434" max="7434" width="6.44140625" style="1" customWidth="1"/>
    <col min="7435" max="7439" width="14.44140625" style="1" bestFit="1" customWidth="1"/>
    <col min="7440" max="7443" width="0" style="1" hidden="1" customWidth="1"/>
    <col min="7444" max="7444" width="17" style="1" bestFit="1" customWidth="1"/>
    <col min="7445" max="7448" width="0" style="1" hidden="1" customWidth="1"/>
    <col min="7449" max="7449" width="17" style="1" bestFit="1" customWidth="1"/>
    <col min="7450" max="7450" width="17.6640625" style="1" bestFit="1" customWidth="1"/>
    <col min="7451" max="7680" width="8.6640625" style="1"/>
    <col min="7681" max="7681" width="2.44140625" style="1" customWidth="1"/>
    <col min="7682" max="7682" width="11.33203125" style="1" customWidth="1"/>
    <col min="7683" max="7683" width="61.44140625" style="1" customWidth="1"/>
    <col min="7684" max="7684" width="15.44140625" style="1" bestFit="1" customWidth="1"/>
    <col min="7685" max="7685" width="17" style="1" customWidth="1"/>
    <col min="7686" max="7686" width="17" style="1" bestFit="1" customWidth="1"/>
    <col min="7687" max="7687" width="17.6640625" style="1" bestFit="1" customWidth="1"/>
    <col min="7688" max="7688" width="17.44140625" style="1" bestFit="1" customWidth="1"/>
    <col min="7689" max="7689" width="15" style="1" bestFit="1" customWidth="1"/>
    <col min="7690" max="7690" width="6.44140625" style="1" customWidth="1"/>
    <col min="7691" max="7695" width="14.44140625" style="1" bestFit="1" customWidth="1"/>
    <col min="7696" max="7699" width="0" style="1" hidden="1" customWidth="1"/>
    <col min="7700" max="7700" width="17" style="1" bestFit="1" customWidth="1"/>
    <col min="7701" max="7704" width="0" style="1" hidden="1" customWidth="1"/>
    <col min="7705" max="7705" width="17" style="1" bestFit="1" customWidth="1"/>
    <col min="7706" max="7706" width="17.6640625" style="1" bestFit="1" customWidth="1"/>
    <col min="7707" max="7936" width="8.6640625" style="1"/>
    <col min="7937" max="7937" width="2.44140625" style="1" customWidth="1"/>
    <col min="7938" max="7938" width="11.33203125" style="1" customWidth="1"/>
    <col min="7939" max="7939" width="61.44140625" style="1" customWidth="1"/>
    <col min="7940" max="7940" width="15.44140625" style="1" bestFit="1" customWidth="1"/>
    <col min="7941" max="7941" width="17" style="1" customWidth="1"/>
    <col min="7942" max="7942" width="17" style="1" bestFit="1" customWidth="1"/>
    <col min="7943" max="7943" width="17.6640625" style="1" bestFit="1" customWidth="1"/>
    <col min="7944" max="7944" width="17.44140625" style="1" bestFit="1" customWidth="1"/>
    <col min="7945" max="7945" width="15" style="1" bestFit="1" customWidth="1"/>
    <col min="7946" max="7946" width="6.44140625" style="1" customWidth="1"/>
    <col min="7947" max="7951" width="14.44140625" style="1" bestFit="1" customWidth="1"/>
    <col min="7952" max="7955" width="0" style="1" hidden="1" customWidth="1"/>
    <col min="7956" max="7956" width="17" style="1" bestFit="1" customWidth="1"/>
    <col min="7957" max="7960" width="0" style="1" hidden="1" customWidth="1"/>
    <col min="7961" max="7961" width="17" style="1" bestFit="1" customWidth="1"/>
    <col min="7962" max="7962" width="17.6640625" style="1" bestFit="1" customWidth="1"/>
    <col min="7963" max="8192" width="8.6640625" style="1"/>
    <col min="8193" max="8193" width="2.44140625" style="1" customWidth="1"/>
    <col min="8194" max="8194" width="11.33203125" style="1" customWidth="1"/>
    <col min="8195" max="8195" width="61.44140625" style="1" customWidth="1"/>
    <col min="8196" max="8196" width="15.44140625" style="1" bestFit="1" customWidth="1"/>
    <col min="8197" max="8197" width="17" style="1" customWidth="1"/>
    <col min="8198" max="8198" width="17" style="1" bestFit="1" customWidth="1"/>
    <col min="8199" max="8199" width="17.6640625" style="1" bestFit="1" customWidth="1"/>
    <col min="8200" max="8200" width="17.44140625" style="1" bestFit="1" customWidth="1"/>
    <col min="8201" max="8201" width="15" style="1" bestFit="1" customWidth="1"/>
    <col min="8202" max="8202" width="6.44140625" style="1" customWidth="1"/>
    <col min="8203" max="8207" width="14.44140625" style="1" bestFit="1" customWidth="1"/>
    <col min="8208" max="8211" width="0" style="1" hidden="1" customWidth="1"/>
    <col min="8212" max="8212" width="17" style="1" bestFit="1" customWidth="1"/>
    <col min="8213" max="8216" width="0" style="1" hidden="1" customWidth="1"/>
    <col min="8217" max="8217" width="17" style="1" bestFit="1" customWidth="1"/>
    <col min="8218" max="8218" width="17.6640625" style="1" bestFit="1" customWidth="1"/>
    <col min="8219" max="8448" width="8.6640625" style="1"/>
    <col min="8449" max="8449" width="2.44140625" style="1" customWidth="1"/>
    <col min="8450" max="8450" width="11.33203125" style="1" customWidth="1"/>
    <col min="8451" max="8451" width="61.44140625" style="1" customWidth="1"/>
    <col min="8452" max="8452" width="15.44140625" style="1" bestFit="1" customWidth="1"/>
    <col min="8453" max="8453" width="17" style="1" customWidth="1"/>
    <col min="8454" max="8454" width="17" style="1" bestFit="1" customWidth="1"/>
    <col min="8455" max="8455" width="17.6640625" style="1" bestFit="1" customWidth="1"/>
    <col min="8456" max="8456" width="17.44140625" style="1" bestFit="1" customWidth="1"/>
    <col min="8457" max="8457" width="15" style="1" bestFit="1" customWidth="1"/>
    <col min="8458" max="8458" width="6.44140625" style="1" customWidth="1"/>
    <col min="8459" max="8463" width="14.44140625" style="1" bestFit="1" customWidth="1"/>
    <col min="8464" max="8467" width="0" style="1" hidden="1" customWidth="1"/>
    <col min="8468" max="8468" width="17" style="1" bestFit="1" customWidth="1"/>
    <col min="8469" max="8472" width="0" style="1" hidden="1" customWidth="1"/>
    <col min="8473" max="8473" width="17" style="1" bestFit="1" customWidth="1"/>
    <col min="8474" max="8474" width="17.6640625" style="1" bestFit="1" customWidth="1"/>
    <col min="8475" max="8704" width="8.6640625" style="1"/>
    <col min="8705" max="8705" width="2.44140625" style="1" customWidth="1"/>
    <col min="8706" max="8706" width="11.33203125" style="1" customWidth="1"/>
    <col min="8707" max="8707" width="61.44140625" style="1" customWidth="1"/>
    <col min="8708" max="8708" width="15.44140625" style="1" bestFit="1" customWidth="1"/>
    <col min="8709" max="8709" width="17" style="1" customWidth="1"/>
    <col min="8710" max="8710" width="17" style="1" bestFit="1" customWidth="1"/>
    <col min="8711" max="8711" width="17.6640625" style="1" bestFit="1" customWidth="1"/>
    <col min="8712" max="8712" width="17.44140625" style="1" bestFit="1" customWidth="1"/>
    <col min="8713" max="8713" width="15" style="1" bestFit="1" customWidth="1"/>
    <col min="8714" max="8714" width="6.44140625" style="1" customWidth="1"/>
    <col min="8715" max="8719" width="14.44140625" style="1" bestFit="1" customWidth="1"/>
    <col min="8720" max="8723" width="0" style="1" hidden="1" customWidth="1"/>
    <col min="8724" max="8724" width="17" style="1" bestFit="1" customWidth="1"/>
    <col min="8725" max="8728" width="0" style="1" hidden="1" customWidth="1"/>
    <col min="8729" max="8729" width="17" style="1" bestFit="1" customWidth="1"/>
    <col min="8730" max="8730" width="17.6640625" style="1" bestFit="1" customWidth="1"/>
    <col min="8731" max="8960" width="8.6640625" style="1"/>
    <col min="8961" max="8961" width="2.44140625" style="1" customWidth="1"/>
    <col min="8962" max="8962" width="11.33203125" style="1" customWidth="1"/>
    <col min="8963" max="8963" width="61.44140625" style="1" customWidth="1"/>
    <col min="8964" max="8964" width="15.44140625" style="1" bestFit="1" customWidth="1"/>
    <col min="8965" max="8965" width="17" style="1" customWidth="1"/>
    <col min="8966" max="8966" width="17" style="1" bestFit="1" customWidth="1"/>
    <col min="8967" max="8967" width="17.6640625" style="1" bestFit="1" customWidth="1"/>
    <col min="8968" max="8968" width="17.44140625" style="1" bestFit="1" customWidth="1"/>
    <col min="8969" max="8969" width="15" style="1" bestFit="1" customWidth="1"/>
    <col min="8970" max="8970" width="6.44140625" style="1" customWidth="1"/>
    <col min="8971" max="8975" width="14.44140625" style="1" bestFit="1" customWidth="1"/>
    <col min="8976" max="8979" width="0" style="1" hidden="1" customWidth="1"/>
    <col min="8980" max="8980" width="17" style="1" bestFit="1" customWidth="1"/>
    <col min="8981" max="8984" width="0" style="1" hidden="1" customWidth="1"/>
    <col min="8985" max="8985" width="17" style="1" bestFit="1" customWidth="1"/>
    <col min="8986" max="8986" width="17.6640625" style="1" bestFit="1" customWidth="1"/>
    <col min="8987" max="9216" width="8.6640625" style="1"/>
    <col min="9217" max="9217" width="2.44140625" style="1" customWidth="1"/>
    <col min="9218" max="9218" width="11.33203125" style="1" customWidth="1"/>
    <col min="9219" max="9219" width="61.44140625" style="1" customWidth="1"/>
    <col min="9220" max="9220" width="15.44140625" style="1" bestFit="1" customWidth="1"/>
    <col min="9221" max="9221" width="17" style="1" customWidth="1"/>
    <col min="9222" max="9222" width="17" style="1" bestFit="1" customWidth="1"/>
    <col min="9223" max="9223" width="17.6640625" style="1" bestFit="1" customWidth="1"/>
    <col min="9224" max="9224" width="17.44140625" style="1" bestFit="1" customWidth="1"/>
    <col min="9225" max="9225" width="15" style="1" bestFit="1" customWidth="1"/>
    <col min="9226" max="9226" width="6.44140625" style="1" customWidth="1"/>
    <col min="9227" max="9231" width="14.44140625" style="1" bestFit="1" customWidth="1"/>
    <col min="9232" max="9235" width="0" style="1" hidden="1" customWidth="1"/>
    <col min="9236" max="9236" width="17" style="1" bestFit="1" customWidth="1"/>
    <col min="9237" max="9240" width="0" style="1" hidden="1" customWidth="1"/>
    <col min="9241" max="9241" width="17" style="1" bestFit="1" customWidth="1"/>
    <col min="9242" max="9242" width="17.6640625" style="1" bestFit="1" customWidth="1"/>
    <col min="9243" max="9472" width="8.6640625" style="1"/>
    <col min="9473" max="9473" width="2.44140625" style="1" customWidth="1"/>
    <col min="9474" max="9474" width="11.33203125" style="1" customWidth="1"/>
    <col min="9475" max="9475" width="61.44140625" style="1" customWidth="1"/>
    <col min="9476" max="9476" width="15.44140625" style="1" bestFit="1" customWidth="1"/>
    <col min="9477" max="9477" width="17" style="1" customWidth="1"/>
    <col min="9478" max="9478" width="17" style="1" bestFit="1" customWidth="1"/>
    <col min="9479" max="9479" width="17.6640625" style="1" bestFit="1" customWidth="1"/>
    <col min="9480" max="9480" width="17.44140625" style="1" bestFit="1" customWidth="1"/>
    <col min="9481" max="9481" width="15" style="1" bestFit="1" customWidth="1"/>
    <col min="9482" max="9482" width="6.44140625" style="1" customWidth="1"/>
    <col min="9483" max="9487" width="14.44140625" style="1" bestFit="1" customWidth="1"/>
    <col min="9488" max="9491" width="0" style="1" hidden="1" customWidth="1"/>
    <col min="9492" max="9492" width="17" style="1" bestFit="1" customWidth="1"/>
    <col min="9493" max="9496" width="0" style="1" hidden="1" customWidth="1"/>
    <col min="9497" max="9497" width="17" style="1" bestFit="1" customWidth="1"/>
    <col min="9498" max="9498" width="17.6640625" style="1" bestFit="1" customWidth="1"/>
    <col min="9499" max="9728" width="8.6640625" style="1"/>
    <col min="9729" max="9729" width="2.44140625" style="1" customWidth="1"/>
    <col min="9730" max="9730" width="11.33203125" style="1" customWidth="1"/>
    <col min="9731" max="9731" width="61.44140625" style="1" customWidth="1"/>
    <col min="9732" max="9732" width="15.44140625" style="1" bestFit="1" customWidth="1"/>
    <col min="9733" max="9733" width="17" style="1" customWidth="1"/>
    <col min="9734" max="9734" width="17" style="1" bestFit="1" customWidth="1"/>
    <col min="9735" max="9735" width="17.6640625" style="1" bestFit="1" customWidth="1"/>
    <col min="9736" max="9736" width="17.44140625" style="1" bestFit="1" customWidth="1"/>
    <col min="9737" max="9737" width="15" style="1" bestFit="1" customWidth="1"/>
    <col min="9738" max="9738" width="6.44140625" style="1" customWidth="1"/>
    <col min="9739" max="9743" width="14.44140625" style="1" bestFit="1" customWidth="1"/>
    <col min="9744" max="9747" width="0" style="1" hidden="1" customWidth="1"/>
    <col min="9748" max="9748" width="17" style="1" bestFit="1" customWidth="1"/>
    <col min="9749" max="9752" width="0" style="1" hidden="1" customWidth="1"/>
    <col min="9753" max="9753" width="17" style="1" bestFit="1" customWidth="1"/>
    <col min="9754" max="9754" width="17.6640625" style="1" bestFit="1" customWidth="1"/>
    <col min="9755" max="9984" width="8.6640625" style="1"/>
    <col min="9985" max="9985" width="2.44140625" style="1" customWidth="1"/>
    <col min="9986" max="9986" width="11.33203125" style="1" customWidth="1"/>
    <col min="9987" max="9987" width="61.44140625" style="1" customWidth="1"/>
    <col min="9988" max="9988" width="15.44140625" style="1" bestFit="1" customWidth="1"/>
    <col min="9989" max="9989" width="17" style="1" customWidth="1"/>
    <col min="9990" max="9990" width="17" style="1" bestFit="1" customWidth="1"/>
    <col min="9991" max="9991" width="17.6640625" style="1" bestFit="1" customWidth="1"/>
    <col min="9992" max="9992" width="17.44140625" style="1" bestFit="1" customWidth="1"/>
    <col min="9993" max="9993" width="15" style="1" bestFit="1" customWidth="1"/>
    <col min="9994" max="9994" width="6.44140625" style="1" customWidth="1"/>
    <col min="9995" max="9999" width="14.44140625" style="1" bestFit="1" customWidth="1"/>
    <col min="10000" max="10003" width="0" style="1" hidden="1" customWidth="1"/>
    <col min="10004" max="10004" width="17" style="1" bestFit="1" customWidth="1"/>
    <col min="10005" max="10008" width="0" style="1" hidden="1" customWidth="1"/>
    <col min="10009" max="10009" width="17" style="1" bestFit="1" customWidth="1"/>
    <col min="10010" max="10010" width="17.6640625" style="1" bestFit="1" customWidth="1"/>
    <col min="10011" max="10240" width="8.6640625" style="1"/>
    <col min="10241" max="10241" width="2.44140625" style="1" customWidth="1"/>
    <col min="10242" max="10242" width="11.33203125" style="1" customWidth="1"/>
    <col min="10243" max="10243" width="61.44140625" style="1" customWidth="1"/>
    <col min="10244" max="10244" width="15.44140625" style="1" bestFit="1" customWidth="1"/>
    <col min="10245" max="10245" width="17" style="1" customWidth="1"/>
    <col min="10246" max="10246" width="17" style="1" bestFit="1" customWidth="1"/>
    <col min="10247" max="10247" width="17.6640625" style="1" bestFit="1" customWidth="1"/>
    <col min="10248" max="10248" width="17.44140625" style="1" bestFit="1" customWidth="1"/>
    <col min="10249" max="10249" width="15" style="1" bestFit="1" customWidth="1"/>
    <col min="10250" max="10250" width="6.44140625" style="1" customWidth="1"/>
    <col min="10251" max="10255" width="14.44140625" style="1" bestFit="1" customWidth="1"/>
    <col min="10256" max="10259" width="0" style="1" hidden="1" customWidth="1"/>
    <col min="10260" max="10260" width="17" style="1" bestFit="1" customWidth="1"/>
    <col min="10261" max="10264" width="0" style="1" hidden="1" customWidth="1"/>
    <col min="10265" max="10265" width="17" style="1" bestFit="1" customWidth="1"/>
    <col min="10266" max="10266" width="17.6640625" style="1" bestFit="1" customWidth="1"/>
    <col min="10267" max="10496" width="8.6640625" style="1"/>
    <col min="10497" max="10497" width="2.44140625" style="1" customWidth="1"/>
    <col min="10498" max="10498" width="11.33203125" style="1" customWidth="1"/>
    <col min="10499" max="10499" width="61.44140625" style="1" customWidth="1"/>
    <col min="10500" max="10500" width="15.44140625" style="1" bestFit="1" customWidth="1"/>
    <col min="10501" max="10501" width="17" style="1" customWidth="1"/>
    <col min="10502" max="10502" width="17" style="1" bestFit="1" customWidth="1"/>
    <col min="10503" max="10503" width="17.6640625" style="1" bestFit="1" customWidth="1"/>
    <col min="10504" max="10504" width="17.44140625" style="1" bestFit="1" customWidth="1"/>
    <col min="10505" max="10505" width="15" style="1" bestFit="1" customWidth="1"/>
    <col min="10506" max="10506" width="6.44140625" style="1" customWidth="1"/>
    <col min="10507" max="10511" width="14.44140625" style="1" bestFit="1" customWidth="1"/>
    <col min="10512" max="10515" width="0" style="1" hidden="1" customWidth="1"/>
    <col min="10516" max="10516" width="17" style="1" bestFit="1" customWidth="1"/>
    <col min="10517" max="10520" width="0" style="1" hidden="1" customWidth="1"/>
    <col min="10521" max="10521" width="17" style="1" bestFit="1" customWidth="1"/>
    <col min="10522" max="10522" width="17.6640625" style="1" bestFit="1" customWidth="1"/>
    <col min="10523" max="10752" width="8.6640625" style="1"/>
    <col min="10753" max="10753" width="2.44140625" style="1" customWidth="1"/>
    <col min="10754" max="10754" width="11.33203125" style="1" customWidth="1"/>
    <col min="10755" max="10755" width="61.44140625" style="1" customWidth="1"/>
    <col min="10756" max="10756" width="15.44140625" style="1" bestFit="1" customWidth="1"/>
    <col min="10757" max="10757" width="17" style="1" customWidth="1"/>
    <col min="10758" max="10758" width="17" style="1" bestFit="1" customWidth="1"/>
    <col min="10759" max="10759" width="17.6640625" style="1" bestFit="1" customWidth="1"/>
    <col min="10760" max="10760" width="17.44140625" style="1" bestFit="1" customWidth="1"/>
    <col min="10761" max="10761" width="15" style="1" bestFit="1" customWidth="1"/>
    <col min="10762" max="10762" width="6.44140625" style="1" customWidth="1"/>
    <col min="10763" max="10767" width="14.44140625" style="1" bestFit="1" customWidth="1"/>
    <col min="10768" max="10771" width="0" style="1" hidden="1" customWidth="1"/>
    <col min="10772" max="10772" width="17" style="1" bestFit="1" customWidth="1"/>
    <col min="10773" max="10776" width="0" style="1" hidden="1" customWidth="1"/>
    <col min="10777" max="10777" width="17" style="1" bestFit="1" customWidth="1"/>
    <col min="10778" max="10778" width="17.6640625" style="1" bestFit="1" customWidth="1"/>
    <col min="10779" max="11008" width="8.6640625" style="1"/>
    <col min="11009" max="11009" width="2.44140625" style="1" customWidth="1"/>
    <col min="11010" max="11010" width="11.33203125" style="1" customWidth="1"/>
    <col min="11011" max="11011" width="61.44140625" style="1" customWidth="1"/>
    <col min="11012" max="11012" width="15.44140625" style="1" bestFit="1" customWidth="1"/>
    <col min="11013" max="11013" width="17" style="1" customWidth="1"/>
    <col min="11014" max="11014" width="17" style="1" bestFit="1" customWidth="1"/>
    <col min="11015" max="11015" width="17.6640625" style="1" bestFit="1" customWidth="1"/>
    <col min="11016" max="11016" width="17.44140625" style="1" bestFit="1" customWidth="1"/>
    <col min="11017" max="11017" width="15" style="1" bestFit="1" customWidth="1"/>
    <col min="11018" max="11018" width="6.44140625" style="1" customWidth="1"/>
    <col min="11019" max="11023" width="14.44140625" style="1" bestFit="1" customWidth="1"/>
    <col min="11024" max="11027" width="0" style="1" hidden="1" customWidth="1"/>
    <col min="11028" max="11028" width="17" style="1" bestFit="1" customWidth="1"/>
    <col min="11029" max="11032" width="0" style="1" hidden="1" customWidth="1"/>
    <col min="11033" max="11033" width="17" style="1" bestFit="1" customWidth="1"/>
    <col min="11034" max="11034" width="17.6640625" style="1" bestFit="1" customWidth="1"/>
    <col min="11035" max="11264" width="8.6640625" style="1"/>
    <col min="11265" max="11265" width="2.44140625" style="1" customWidth="1"/>
    <col min="11266" max="11266" width="11.33203125" style="1" customWidth="1"/>
    <col min="11267" max="11267" width="61.44140625" style="1" customWidth="1"/>
    <col min="11268" max="11268" width="15.44140625" style="1" bestFit="1" customWidth="1"/>
    <col min="11269" max="11269" width="17" style="1" customWidth="1"/>
    <col min="11270" max="11270" width="17" style="1" bestFit="1" customWidth="1"/>
    <col min="11271" max="11271" width="17.6640625" style="1" bestFit="1" customWidth="1"/>
    <col min="11272" max="11272" width="17.44140625" style="1" bestFit="1" customWidth="1"/>
    <col min="11273" max="11273" width="15" style="1" bestFit="1" customWidth="1"/>
    <col min="11274" max="11274" width="6.44140625" style="1" customWidth="1"/>
    <col min="11275" max="11279" width="14.44140625" style="1" bestFit="1" customWidth="1"/>
    <col min="11280" max="11283" width="0" style="1" hidden="1" customWidth="1"/>
    <col min="11284" max="11284" width="17" style="1" bestFit="1" customWidth="1"/>
    <col min="11285" max="11288" width="0" style="1" hidden="1" customWidth="1"/>
    <col min="11289" max="11289" width="17" style="1" bestFit="1" customWidth="1"/>
    <col min="11290" max="11290" width="17.6640625" style="1" bestFit="1" customWidth="1"/>
    <col min="11291" max="11520" width="8.6640625" style="1"/>
    <col min="11521" max="11521" width="2.44140625" style="1" customWidth="1"/>
    <col min="11522" max="11522" width="11.33203125" style="1" customWidth="1"/>
    <col min="11523" max="11523" width="61.44140625" style="1" customWidth="1"/>
    <col min="11524" max="11524" width="15.44140625" style="1" bestFit="1" customWidth="1"/>
    <col min="11525" max="11525" width="17" style="1" customWidth="1"/>
    <col min="11526" max="11526" width="17" style="1" bestFit="1" customWidth="1"/>
    <col min="11527" max="11527" width="17.6640625" style="1" bestFit="1" customWidth="1"/>
    <col min="11528" max="11528" width="17.44140625" style="1" bestFit="1" customWidth="1"/>
    <col min="11529" max="11529" width="15" style="1" bestFit="1" customWidth="1"/>
    <col min="11530" max="11530" width="6.44140625" style="1" customWidth="1"/>
    <col min="11531" max="11535" width="14.44140625" style="1" bestFit="1" customWidth="1"/>
    <col min="11536" max="11539" width="0" style="1" hidden="1" customWidth="1"/>
    <col min="11540" max="11540" width="17" style="1" bestFit="1" customWidth="1"/>
    <col min="11541" max="11544" width="0" style="1" hidden="1" customWidth="1"/>
    <col min="11545" max="11545" width="17" style="1" bestFit="1" customWidth="1"/>
    <col min="11546" max="11546" width="17.6640625" style="1" bestFit="1" customWidth="1"/>
    <col min="11547" max="11776" width="8.6640625" style="1"/>
    <col min="11777" max="11777" width="2.44140625" style="1" customWidth="1"/>
    <col min="11778" max="11778" width="11.33203125" style="1" customWidth="1"/>
    <col min="11779" max="11779" width="61.44140625" style="1" customWidth="1"/>
    <col min="11780" max="11780" width="15.44140625" style="1" bestFit="1" customWidth="1"/>
    <col min="11781" max="11781" width="17" style="1" customWidth="1"/>
    <col min="11782" max="11782" width="17" style="1" bestFit="1" customWidth="1"/>
    <col min="11783" max="11783" width="17.6640625" style="1" bestFit="1" customWidth="1"/>
    <col min="11784" max="11784" width="17.44140625" style="1" bestFit="1" customWidth="1"/>
    <col min="11785" max="11785" width="15" style="1" bestFit="1" customWidth="1"/>
    <col min="11786" max="11786" width="6.44140625" style="1" customWidth="1"/>
    <col min="11787" max="11791" width="14.44140625" style="1" bestFit="1" customWidth="1"/>
    <col min="11792" max="11795" width="0" style="1" hidden="1" customWidth="1"/>
    <col min="11796" max="11796" width="17" style="1" bestFit="1" customWidth="1"/>
    <col min="11797" max="11800" width="0" style="1" hidden="1" customWidth="1"/>
    <col min="11801" max="11801" width="17" style="1" bestFit="1" customWidth="1"/>
    <col min="11802" max="11802" width="17.6640625" style="1" bestFit="1" customWidth="1"/>
    <col min="11803" max="12032" width="8.6640625" style="1"/>
    <col min="12033" max="12033" width="2.44140625" style="1" customWidth="1"/>
    <col min="12034" max="12034" width="11.33203125" style="1" customWidth="1"/>
    <col min="12035" max="12035" width="61.44140625" style="1" customWidth="1"/>
    <col min="12036" max="12036" width="15.44140625" style="1" bestFit="1" customWidth="1"/>
    <col min="12037" max="12037" width="17" style="1" customWidth="1"/>
    <col min="12038" max="12038" width="17" style="1" bestFit="1" customWidth="1"/>
    <col min="12039" max="12039" width="17.6640625" style="1" bestFit="1" customWidth="1"/>
    <col min="12040" max="12040" width="17.44140625" style="1" bestFit="1" customWidth="1"/>
    <col min="12041" max="12041" width="15" style="1" bestFit="1" customWidth="1"/>
    <col min="12042" max="12042" width="6.44140625" style="1" customWidth="1"/>
    <col min="12043" max="12047" width="14.44140625" style="1" bestFit="1" customWidth="1"/>
    <col min="12048" max="12051" width="0" style="1" hidden="1" customWidth="1"/>
    <col min="12052" max="12052" width="17" style="1" bestFit="1" customWidth="1"/>
    <col min="12053" max="12056" width="0" style="1" hidden="1" customWidth="1"/>
    <col min="12057" max="12057" width="17" style="1" bestFit="1" customWidth="1"/>
    <col min="12058" max="12058" width="17.6640625" style="1" bestFit="1" customWidth="1"/>
    <col min="12059" max="12288" width="8.6640625" style="1"/>
    <col min="12289" max="12289" width="2.44140625" style="1" customWidth="1"/>
    <col min="12290" max="12290" width="11.33203125" style="1" customWidth="1"/>
    <col min="12291" max="12291" width="61.44140625" style="1" customWidth="1"/>
    <col min="12292" max="12292" width="15.44140625" style="1" bestFit="1" customWidth="1"/>
    <col min="12293" max="12293" width="17" style="1" customWidth="1"/>
    <col min="12294" max="12294" width="17" style="1" bestFit="1" customWidth="1"/>
    <col min="12295" max="12295" width="17.6640625" style="1" bestFit="1" customWidth="1"/>
    <col min="12296" max="12296" width="17.44140625" style="1" bestFit="1" customWidth="1"/>
    <col min="12297" max="12297" width="15" style="1" bestFit="1" customWidth="1"/>
    <col min="12298" max="12298" width="6.44140625" style="1" customWidth="1"/>
    <col min="12299" max="12303" width="14.44140625" style="1" bestFit="1" customWidth="1"/>
    <col min="12304" max="12307" width="0" style="1" hidden="1" customWidth="1"/>
    <col min="12308" max="12308" width="17" style="1" bestFit="1" customWidth="1"/>
    <col min="12309" max="12312" width="0" style="1" hidden="1" customWidth="1"/>
    <col min="12313" max="12313" width="17" style="1" bestFit="1" customWidth="1"/>
    <col min="12314" max="12314" width="17.6640625" style="1" bestFit="1" customWidth="1"/>
    <col min="12315" max="12544" width="8.6640625" style="1"/>
    <col min="12545" max="12545" width="2.44140625" style="1" customWidth="1"/>
    <col min="12546" max="12546" width="11.33203125" style="1" customWidth="1"/>
    <col min="12547" max="12547" width="61.44140625" style="1" customWidth="1"/>
    <col min="12548" max="12548" width="15.44140625" style="1" bestFit="1" customWidth="1"/>
    <col min="12549" max="12549" width="17" style="1" customWidth="1"/>
    <col min="12550" max="12550" width="17" style="1" bestFit="1" customWidth="1"/>
    <col min="12551" max="12551" width="17.6640625" style="1" bestFit="1" customWidth="1"/>
    <col min="12552" max="12552" width="17.44140625" style="1" bestFit="1" customWidth="1"/>
    <col min="12553" max="12553" width="15" style="1" bestFit="1" customWidth="1"/>
    <col min="12554" max="12554" width="6.44140625" style="1" customWidth="1"/>
    <col min="12555" max="12559" width="14.44140625" style="1" bestFit="1" customWidth="1"/>
    <col min="12560" max="12563" width="0" style="1" hidden="1" customWidth="1"/>
    <col min="12564" max="12564" width="17" style="1" bestFit="1" customWidth="1"/>
    <col min="12565" max="12568" width="0" style="1" hidden="1" customWidth="1"/>
    <col min="12569" max="12569" width="17" style="1" bestFit="1" customWidth="1"/>
    <col min="12570" max="12570" width="17.6640625" style="1" bestFit="1" customWidth="1"/>
    <col min="12571" max="12800" width="8.6640625" style="1"/>
    <col min="12801" max="12801" width="2.44140625" style="1" customWidth="1"/>
    <col min="12802" max="12802" width="11.33203125" style="1" customWidth="1"/>
    <col min="12803" max="12803" width="61.44140625" style="1" customWidth="1"/>
    <col min="12804" max="12804" width="15.44140625" style="1" bestFit="1" customWidth="1"/>
    <col min="12805" max="12805" width="17" style="1" customWidth="1"/>
    <col min="12806" max="12806" width="17" style="1" bestFit="1" customWidth="1"/>
    <col min="12807" max="12807" width="17.6640625" style="1" bestFit="1" customWidth="1"/>
    <col min="12808" max="12808" width="17.44140625" style="1" bestFit="1" customWidth="1"/>
    <col min="12809" max="12809" width="15" style="1" bestFit="1" customWidth="1"/>
    <col min="12810" max="12810" width="6.44140625" style="1" customWidth="1"/>
    <col min="12811" max="12815" width="14.44140625" style="1" bestFit="1" customWidth="1"/>
    <col min="12816" max="12819" width="0" style="1" hidden="1" customWidth="1"/>
    <col min="12820" max="12820" width="17" style="1" bestFit="1" customWidth="1"/>
    <col min="12821" max="12824" width="0" style="1" hidden="1" customWidth="1"/>
    <col min="12825" max="12825" width="17" style="1" bestFit="1" customWidth="1"/>
    <col min="12826" max="12826" width="17.6640625" style="1" bestFit="1" customWidth="1"/>
    <col min="12827" max="13056" width="8.6640625" style="1"/>
    <col min="13057" max="13057" width="2.44140625" style="1" customWidth="1"/>
    <col min="13058" max="13058" width="11.33203125" style="1" customWidth="1"/>
    <col min="13059" max="13059" width="61.44140625" style="1" customWidth="1"/>
    <col min="13060" max="13060" width="15.44140625" style="1" bestFit="1" customWidth="1"/>
    <col min="13061" max="13061" width="17" style="1" customWidth="1"/>
    <col min="13062" max="13062" width="17" style="1" bestFit="1" customWidth="1"/>
    <col min="13063" max="13063" width="17.6640625" style="1" bestFit="1" customWidth="1"/>
    <col min="13064" max="13064" width="17.44140625" style="1" bestFit="1" customWidth="1"/>
    <col min="13065" max="13065" width="15" style="1" bestFit="1" customWidth="1"/>
    <col min="13066" max="13066" width="6.44140625" style="1" customWidth="1"/>
    <col min="13067" max="13071" width="14.44140625" style="1" bestFit="1" customWidth="1"/>
    <col min="13072" max="13075" width="0" style="1" hidden="1" customWidth="1"/>
    <col min="13076" max="13076" width="17" style="1" bestFit="1" customWidth="1"/>
    <col min="13077" max="13080" width="0" style="1" hidden="1" customWidth="1"/>
    <col min="13081" max="13081" width="17" style="1" bestFit="1" customWidth="1"/>
    <col min="13082" max="13082" width="17.6640625" style="1" bestFit="1" customWidth="1"/>
    <col min="13083" max="13312" width="8.6640625" style="1"/>
    <col min="13313" max="13313" width="2.44140625" style="1" customWidth="1"/>
    <col min="13314" max="13314" width="11.33203125" style="1" customWidth="1"/>
    <col min="13315" max="13315" width="61.44140625" style="1" customWidth="1"/>
    <col min="13316" max="13316" width="15.44140625" style="1" bestFit="1" customWidth="1"/>
    <col min="13317" max="13317" width="17" style="1" customWidth="1"/>
    <col min="13318" max="13318" width="17" style="1" bestFit="1" customWidth="1"/>
    <col min="13319" max="13319" width="17.6640625" style="1" bestFit="1" customWidth="1"/>
    <col min="13320" max="13320" width="17.44140625" style="1" bestFit="1" customWidth="1"/>
    <col min="13321" max="13321" width="15" style="1" bestFit="1" customWidth="1"/>
    <col min="13322" max="13322" width="6.44140625" style="1" customWidth="1"/>
    <col min="13323" max="13327" width="14.44140625" style="1" bestFit="1" customWidth="1"/>
    <col min="13328" max="13331" width="0" style="1" hidden="1" customWidth="1"/>
    <col min="13332" max="13332" width="17" style="1" bestFit="1" customWidth="1"/>
    <col min="13333" max="13336" width="0" style="1" hidden="1" customWidth="1"/>
    <col min="13337" max="13337" width="17" style="1" bestFit="1" customWidth="1"/>
    <col min="13338" max="13338" width="17.6640625" style="1" bestFit="1" customWidth="1"/>
    <col min="13339" max="13568" width="8.6640625" style="1"/>
    <col min="13569" max="13569" width="2.44140625" style="1" customWidth="1"/>
    <col min="13570" max="13570" width="11.33203125" style="1" customWidth="1"/>
    <col min="13571" max="13571" width="61.44140625" style="1" customWidth="1"/>
    <col min="13572" max="13572" width="15.44140625" style="1" bestFit="1" customWidth="1"/>
    <col min="13573" max="13573" width="17" style="1" customWidth="1"/>
    <col min="13574" max="13574" width="17" style="1" bestFit="1" customWidth="1"/>
    <col min="13575" max="13575" width="17.6640625" style="1" bestFit="1" customWidth="1"/>
    <col min="13576" max="13576" width="17.44140625" style="1" bestFit="1" customWidth="1"/>
    <col min="13577" max="13577" width="15" style="1" bestFit="1" customWidth="1"/>
    <col min="13578" max="13578" width="6.44140625" style="1" customWidth="1"/>
    <col min="13579" max="13583" width="14.44140625" style="1" bestFit="1" customWidth="1"/>
    <col min="13584" max="13587" width="0" style="1" hidden="1" customWidth="1"/>
    <col min="13588" max="13588" width="17" style="1" bestFit="1" customWidth="1"/>
    <col min="13589" max="13592" width="0" style="1" hidden="1" customWidth="1"/>
    <col min="13593" max="13593" width="17" style="1" bestFit="1" customWidth="1"/>
    <col min="13594" max="13594" width="17.6640625" style="1" bestFit="1" customWidth="1"/>
    <col min="13595" max="13824" width="8.6640625" style="1"/>
    <col min="13825" max="13825" width="2.44140625" style="1" customWidth="1"/>
    <col min="13826" max="13826" width="11.33203125" style="1" customWidth="1"/>
    <col min="13827" max="13827" width="61.44140625" style="1" customWidth="1"/>
    <col min="13828" max="13828" width="15.44140625" style="1" bestFit="1" customWidth="1"/>
    <col min="13829" max="13829" width="17" style="1" customWidth="1"/>
    <col min="13830" max="13830" width="17" style="1" bestFit="1" customWidth="1"/>
    <col min="13831" max="13831" width="17.6640625" style="1" bestFit="1" customWidth="1"/>
    <col min="13832" max="13832" width="17.44140625" style="1" bestFit="1" customWidth="1"/>
    <col min="13833" max="13833" width="15" style="1" bestFit="1" customWidth="1"/>
    <col min="13834" max="13834" width="6.44140625" style="1" customWidth="1"/>
    <col min="13835" max="13839" width="14.44140625" style="1" bestFit="1" customWidth="1"/>
    <col min="13840" max="13843" width="0" style="1" hidden="1" customWidth="1"/>
    <col min="13844" max="13844" width="17" style="1" bestFit="1" customWidth="1"/>
    <col min="13845" max="13848" width="0" style="1" hidden="1" customWidth="1"/>
    <col min="13849" max="13849" width="17" style="1" bestFit="1" customWidth="1"/>
    <col min="13850" max="13850" width="17.6640625" style="1" bestFit="1" customWidth="1"/>
    <col min="13851" max="14080" width="8.6640625" style="1"/>
    <col min="14081" max="14081" width="2.44140625" style="1" customWidth="1"/>
    <col min="14082" max="14082" width="11.33203125" style="1" customWidth="1"/>
    <col min="14083" max="14083" width="61.44140625" style="1" customWidth="1"/>
    <col min="14084" max="14084" width="15.44140625" style="1" bestFit="1" customWidth="1"/>
    <col min="14085" max="14085" width="17" style="1" customWidth="1"/>
    <col min="14086" max="14086" width="17" style="1" bestFit="1" customWidth="1"/>
    <col min="14087" max="14087" width="17.6640625" style="1" bestFit="1" customWidth="1"/>
    <col min="14088" max="14088" width="17.44140625" style="1" bestFit="1" customWidth="1"/>
    <col min="14089" max="14089" width="15" style="1" bestFit="1" customWidth="1"/>
    <col min="14090" max="14090" width="6.44140625" style="1" customWidth="1"/>
    <col min="14091" max="14095" width="14.44140625" style="1" bestFit="1" customWidth="1"/>
    <col min="14096" max="14099" width="0" style="1" hidden="1" customWidth="1"/>
    <col min="14100" max="14100" width="17" style="1" bestFit="1" customWidth="1"/>
    <col min="14101" max="14104" width="0" style="1" hidden="1" customWidth="1"/>
    <col min="14105" max="14105" width="17" style="1" bestFit="1" customWidth="1"/>
    <col min="14106" max="14106" width="17.6640625" style="1" bestFit="1" customWidth="1"/>
    <col min="14107" max="14336" width="8.6640625" style="1"/>
    <col min="14337" max="14337" width="2.44140625" style="1" customWidth="1"/>
    <col min="14338" max="14338" width="11.33203125" style="1" customWidth="1"/>
    <col min="14339" max="14339" width="61.44140625" style="1" customWidth="1"/>
    <col min="14340" max="14340" width="15.44140625" style="1" bestFit="1" customWidth="1"/>
    <col min="14341" max="14341" width="17" style="1" customWidth="1"/>
    <col min="14342" max="14342" width="17" style="1" bestFit="1" customWidth="1"/>
    <col min="14343" max="14343" width="17.6640625" style="1" bestFit="1" customWidth="1"/>
    <col min="14344" max="14344" width="17.44140625" style="1" bestFit="1" customWidth="1"/>
    <col min="14345" max="14345" width="15" style="1" bestFit="1" customWidth="1"/>
    <col min="14346" max="14346" width="6.44140625" style="1" customWidth="1"/>
    <col min="14347" max="14351" width="14.44140625" style="1" bestFit="1" customWidth="1"/>
    <col min="14352" max="14355" width="0" style="1" hidden="1" customWidth="1"/>
    <col min="14356" max="14356" width="17" style="1" bestFit="1" customWidth="1"/>
    <col min="14357" max="14360" width="0" style="1" hidden="1" customWidth="1"/>
    <col min="14361" max="14361" width="17" style="1" bestFit="1" customWidth="1"/>
    <col min="14362" max="14362" width="17.6640625" style="1" bestFit="1" customWidth="1"/>
    <col min="14363" max="14592" width="8.6640625" style="1"/>
    <col min="14593" max="14593" width="2.44140625" style="1" customWidth="1"/>
    <col min="14594" max="14594" width="11.33203125" style="1" customWidth="1"/>
    <col min="14595" max="14595" width="61.44140625" style="1" customWidth="1"/>
    <col min="14596" max="14596" width="15.44140625" style="1" bestFit="1" customWidth="1"/>
    <col min="14597" max="14597" width="17" style="1" customWidth="1"/>
    <col min="14598" max="14598" width="17" style="1" bestFit="1" customWidth="1"/>
    <col min="14599" max="14599" width="17.6640625" style="1" bestFit="1" customWidth="1"/>
    <col min="14600" max="14600" width="17.44140625" style="1" bestFit="1" customWidth="1"/>
    <col min="14601" max="14601" width="15" style="1" bestFit="1" customWidth="1"/>
    <col min="14602" max="14602" width="6.44140625" style="1" customWidth="1"/>
    <col min="14603" max="14607" width="14.44140625" style="1" bestFit="1" customWidth="1"/>
    <col min="14608" max="14611" width="0" style="1" hidden="1" customWidth="1"/>
    <col min="14612" max="14612" width="17" style="1" bestFit="1" customWidth="1"/>
    <col min="14613" max="14616" width="0" style="1" hidden="1" customWidth="1"/>
    <col min="14617" max="14617" width="17" style="1" bestFit="1" customWidth="1"/>
    <col min="14618" max="14618" width="17.6640625" style="1" bestFit="1" customWidth="1"/>
    <col min="14619" max="14848" width="8.6640625" style="1"/>
    <col min="14849" max="14849" width="2.44140625" style="1" customWidth="1"/>
    <col min="14850" max="14850" width="11.33203125" style="1" customWidth="1"/>
    <col min="14851" max="14851" width="61.44140625" style="1" customWidth="1"/>
    <col min="14852" max="14852" width="15.44140625" style="1" bestFit="1" customWidth="1"/>
    <col min="14853" max="14853" width="17" style="1" customWidth="1"/>
    <col min="14854" max="14854" width="17" style="1" bestFit="1" customWidth="1"/>
    <col min="14855" max="14855" width="17.6640625" style="1" bestFit="1" customWidth="1"/>
    <col min="14856" max="14856" width="17.44140625" style="1" bestFit="1" customWidth="1"/>
    <col min="14857" max="14857" width="15" style="1" bestFit="1" customWidth="1"/>
    <col min="14858" max="14858" width="6.44140625" style="1" customWidth="1"/>
    <col min="14859" max="14863" width="14.44140625" style="1" bestFit="1" customWidth="1"/>
    <col min="14864" max="14867" width="0" style="1" hidden="1" customWidth="1"/>
    <col min="14868" max="14868" width="17" style="1" bestFit="1" customWidth="1"/>
    <col min="14869" max="14872" width="0" style="1" hidden="1" customWidth="1"/>
    <col min="14873" max="14873" width="17" style="1" bestFit="1" customWidth="1"/>
    <col min="14874" max="14874" width="17.6640625" style="1" bestFit="1" customWidth="1"/>
    <col min="14875" max="15104" width="8.6640625" style="1"/>
    <col min="15105" max="15105" width="2.44140625" style="1" customWidth="1"/>
    <col min="15106" max="15106" width="11.33203125" style="1" customWidth="1"/>
    <col min="15107" max="15107" width="61.44140625" style="1" customWidth="1"/>
    <col min="15108" max="15108" width="15.44140625" style="1" bestFit="1" customWidth="1"/>
    <col min="15109" max="15109" width="17" style="1" customWidth="1"/>
    <col min="15110" max="15110" width="17" style="1" bestFit="1" customWidth="1"/>
    <col min="15111" max="15111" width="17.6640625" style="1" bestFit="1" customWidth="1"/>
    <col min="15112" max="15112" width="17.44140625" style="1" bestFit="1" customWidth="1"/>
    <col min="15113" max="15113" width="15" style="1" bestFit="1" customWidth="1"/>
    <col min="15114" max="15114" width="6.44140625" style="1" customWidth="1"/>
    <col min="15115" max="15119" width="14.44140625" style="1" bestFit="1" customWidth="1"/>
    <col min="15120" max="15123" width="0" style="1" hidden="1" customWidth="1"/>
    <col min="15124" max="15124" width="17" style="1" bestFit="1" customWidth="1"/>
    <col min="15125" max="15128" width="0" style="1" hidden="1" customWidth="1"/>
    <col min="15129" max="15129" width="17" style="1" bestFit="1" customWidth="1"/>
    <col min="15130" max="15130" width="17.6640625" style="1" bestFit="1" customWidth="1"/>
    <col min="15131" max="15360" width="8.6640625" style="1"/>
    <col min="15361" max="15361" width="2.44140625" style="1" customWidth="1"/>
    <col min="15362" max="15362" width="11.33203125" style="1" customWidth="1"/>
    <col min="15363" max="15363" width="61.44140625" style="1" customWidth="1"/>
    <col min="15364" max="15364" width="15.44140625" style="1" bestFit="1" customWidth="1"/>
    <col min="15365" max="15365" width="17" style="1" customWidth="1"/>
    <col min="15366" max="15366" width="17" style="1" bestFit="1" customWidth="1"/>
    <col min="15367" max="15367" width="17.6640625" style="1" bestFit="1" customWidth="1"/>
    <col min="15368" max="15368" width="17.44140625" style="1" bestFit="1" customWidth="1"/>
    <col min="15369" max="15369" width="15" style="1" bestFit="1" customWidth="1"/>
    <col min="15370" max="15370" width="6.44140625" style="1" customWidth="1"/>
    <col min="15371" max="15375" width="14.44140625" style="1" bestFit="1" customWidth="1"/>
    <col min="15376" max="15379" width="0" style="1" hidden="1" customWidth="1"/>
    <col min="15380" max="15380" width="17" style="1" bestFit="1" customWidth="1"/>
    <col min="15381" max="15384" width="0" style="1" hidden="1" customWidth="1"/>
    <col min="15385" max="15385" width="17" style="1" bestFit="1" customWidth="1"/>
    <col min="15386" max="15386" width="17.6640625" style="1" bestFit="1" customWidth="1"/>
    <col min="15387" max="15616" width="8.6640625" style="1"/>
    <col min="15617" max="15617" width="2.44140625" style="1" customWidth="1"/>
    <col min="15618" max="15618" width="11.33203125" style="1" customWidth="1"/>
    <col min="15619" max="15619" width="61.44140625" style="1" customWidth="1"/>
    <col min="15620" max="15620" width="15.44140625" style="1" bestFit="1" customWidth="1"/>
    <col min="15621" max="15621" width="17" style="1" customWidth="1"/>
    <col min="15622" max="15622" width="17" style="1" bestFit="1" customWidth="1"/>
    <col min="15623" max="15623" width="17.6640625" style="1" bestFit="1" customWidth="1"/>
    <col min="15624" max="15624" width="17.44140625" style="1" bestFit="1" customWidth="1"/>
    <col min="15625" max="15625" width="15" style="1" bestFit="1" customWidth="1"/>
    <col min="15626" max="15626" width="6.44140625" style="1" customWidth="1"/>
    <col min="15627" max="15631" width="14.44140625" style="1" bestFit="1" customWidth="1"/>
    <col min="15632" max="15635" width="0" style="1" hidden="1" customWidth="1"/>
    <col min="15636" max="15636" width="17" style="1" bestFit="1" customWidth="1"/>
    <col min="15637" max="15640" width="0" style="1" hidden="1" customWidth="1"/>
    <col min="15641" max="15641" width="17" style="1" bestFit="1" customWidth="1"/>
    <col min="15642" max="15642" width="17.6640625" style="1" bestFit="1" customWidth="1"/>
    <col min="15643" max="15872" width="8.6640625" style="1"/>
    <col min="15873" max="15873" width="2.44140625" style="1" customWidth="1"/>
    <col min="15874" max="15874" width="11.33203125" style="1" customWidth="1"/>
    <col min="15875" max="15875" width="61.44140625" style="1" customWidth="1"/>
    <col min="15876" max="15876" width="15.44140625" style="1" bestFit="1" customWidth="1"/>
    <col min="15877" max="15877" width="17" style="1" customWidth="1"/>
    <col min="15878" max="15878" width="17" style="1" bestFit="1" customWidth="1"/>
    <col min="15879" max="15879" width="17.6640625" style="1" bestFit="1" customWidth="1"/>
    <col min="15880" max="15880" width="17.44140625" style="1" bestFit="1" customWidth="1"/>
    <col min="15881" max="15881" width="15" style="1" bestFit="1" customWidth="1"/>
    <col min="15882" max="15882" width="6.44140625" style="1" customWidth="1"/>
    <col min="15883" max="15887" width="14.44140625" style="1" bestFit="1" customWidth="1"/>
    <col min="15888" max="15891" width="0" style="1" hidden="1" customWidth="1"/>
    <col min="15892" max="15892" width="17" style="1" bestFit="1" customWidth="1"/>
    <col min="15893" max="15896" width="0" style="1" hidden="1" customWidth="1"/>
    <col min="15897" max="15897" width="17" style="1" bestFit="1" customWidth="1"/>
    <col min="15898" max="15898" width="17.6640625" style="1" bestFit="1" customWidth="1"/>
    <col min="15899" max="16128" width="8.6640625" style="1"/>
    <col min="16129" max="16129" width="2.44140625" style="1" customWidth="1"/>
    <col min="16130" max="16130" width="11.33203125" style="1" customWidth="1"/>
    <col min="16131" max="16131" width="61.44140625" style="1" customWidth="1"/>
    <col min="16132" max="16132" width="15.44140625" style="1" bestFit="1" customWidth="1"/>
    <col min="16133" max="16133" width="17" style="1" customWidth="1"/>
    <col min="16134" max="16134" width="17" style="1" bestFit="1" customWidth="1"/>
    <col min="16135" max="16135" width="17.6640625" style="1" bestFit="1" customWidth="1"/>
    <col min="16136" max="16136" width="17.44140625" style="1" bestFit="1" customWidth="1"/>
    <col min="16137" max="16137" width="15" style="1" bestFit="1" customWidth="1"/>
    <col min="16138" max="16138" width="6.44140625" style="1" customWidth="1"/>
    <col min="16139" max="16143" width="14.44140625" style="1" bestFit="1" customWidth="1"/>
    <col min="16144" max="16147" width="0" style="1" hidden="1" customWidth="1"/>
    <col min="16148" max="16148" width="17" style="1" bestFit="1" customWidth="1"/>
    <col min="16149" max="16152" width="0" style="1" hidden="1" customWidth="1"/>
    <col min="16153" max="16153" width="17" style="1" bestFit="1" customWidth="1"/>
    <col min="16154" max="16154" width="17.6640625" style="1" bestFit="1" customWidth="1"/>
    <col min="16155" max="16384" width="8.6640625" style="1"/>
  </cols>
  <sheetData>
    <row r="4" spans="2:26" ht="28.5" customHeight="1" x14ac:dyDescent="0.3">
      <c r="B4" s="455">
        <v>5.4</v>
      </c>
      <c r="C4" s="456" t="s">
        <v>529</v>
      </c>
      <c r="D4" s="457" t="s">
        <v>26</v>
      </c>
      <c r="E4" s="457" t="s">
        <v>27</v>
      </c>
      <c r="F4" s="457" t="s">
        <v>28</v>
      </c>
      <c r="G4" s="457" t="s">
        <v>9</v>
      </c>
      <c r="P4" s="33" t="e">
        <f>#REF!*1.1</f>
        <v>#REF!</v>
      </c>
    </row>
    <row r="5" spans="2:26" ht="23.25" customHeight="1" x14ac:dyDescent="0.3">
      <c r="B5" s="459"/>
      <c r="C5" s="460" t="s">
        <v>133</v>
      </c>
      <c r="D5" s="461">
        <f>O18</f>
        <v>427750.39999999991</v>
      </c>
      <c r="E5" s="461">
        <f>T18</f>
        <v>449137.91999999993</v>
      </c>
      <c r="F5" s="461">
        <f>Y18</f>
        <v>471594.81599999993</v>
      </c>
      <c r="G5" s="461">
        <f>D5+E5+F5</f>
        <v>1348483.1359999997</v>
      </c>
    </row>
    <row r="6" spans="2:26" ht="15.6" x14ac:dyDescent="0.3">
      <c r="B6" s="459"/>
      <c r="C6" s="462" t="s">
        <v>10</v>
      </c>
      <c r="D6" s="463">
        <f>D5</f>
        <v>427750.39999999991</v>
      </c>
      <c r="E6" s="463">
        <f>E5</f>
        <v>449137.91999999993</v>
      </c>
      <c r="F6" s="463">
        <f>F5</f>
        <v>471594.81599999993</v>
      </c>
      <c r="G6" s="463">
        <f>G5</f>
        <v>1348483.1359999997</v>
      </c>
    </row>
    <row r="7" spans="2:26" s="598" customFormat="1" ht="15.6" x14ac:dyDescent="0.3">
      <c r="B7" s="595"/>
      <c r="C7" s="596"/>
      <c r="D7" s="597"/>
      <c r="E7" s="597"/>
      <c r="F7" s="597"/>
      <c r="G7" s="597"/>
      <c r="I7" s="599"/>
    </row>
    <row r="8" spans="2:26" x14ac:dyDescent="0.3">
      <c r="B8" s="806" t="s">
        <v>34</v>
      </c>
      <c r="C8" s="807"/>
      <c r="D8" s="807"/>
      <c r="E8" s="807"/>
      <c r="F8" s="807"/>
      <c r="G8" s="807"/>
      <c r="H8" s="807"/>
      <c r="I8" s="807"/>
    </row>
    <row r="9" spans="2:26" ht="15.6" x14ac:dyDescent="0.3">
      <c r="B9" s="3"/>
      <c r="C9" s="3"/>
      <c r="D9" s="3"/>
      <c r="E9" s="3"/>
      <c r="F9" s="3"/>
      <c r="G9" s="3"/>
      <c r="H9" s="3"/>
      <c r="I9" s="464"/>
      <c r="J9" s="4"/>
      <c r="K9" s="841" t="s">
        <v>26</v>
      </c>
      <c r="L9" s="841"/>
      <c r="M9" s="841"/>
      <c r="N9" s="841"/>
      <c r="O9" s="34" t="s">
        <v>26</v>
      </c>
      <c r="P9" s="843" t="s">
        <v>27</v>
      </c>
      <c r="Q9" s="844"/>
      <c r="R9" s="844"/>
      <c r="S9" s="845"/>
      <c r="T9" s="35" t="s">
        <v>27</v>
      </c>
      <c r="U9" s="843" t="s">
        <v>28</v>
      </c>
      <c r="V9" s="844"/>
      <c r="W9" s="844"/>
      <c r="X9" s="845"/>
      <c r="Y9" s="5" t="s">
        <v>28</v>
      </c>
      <c r="Z9" s="6"/>
    </row>
    <row r="10" spans="2:26" ht="15.6" x14ac:dyDescent="0.3">
      <c r="B10" s="3"/>
      <c r="C10" s="3" t="s">
        <v>35</v>
      </c>
      <c r="D10" s="3"/>
      <c r="E10" s="3"/>
      <c r="F10" s="3"/>
      <c r="G10" s="3"/>
      <c r="H10" s="3"/>
      <c r="I10" s="464"/>
      <c r="J10" s="4"/>
      <c r="K10" s="7" t="s">
        <v>36</v>
      </c>
      <c r="L10" s="7" t="s">
        <v>37</v>
      </c>
      <c r="M10" s="7" t="s">
        <v>38</v>
      </c>
      <c r="N10" s="7" t="s">
        <v>39</v>
      </c>
      <c r="O10" s="5" t="s">
        <v>9</v>
      </c>
      <c r="P10" s="8" t="s">
        <v>36</v>
      </c>
      <c r="Q10" s="8" t="s">
        <v>37</v>
      </c>
      <c r="R10" s="8" t="s">
        <v>38</v>
      </c>
      <c r="S10" s="8" t="s">
        <v>39</v>
      </c>
      <c r="T10" s="5" t="s">
        <v>9</v>
      </c>
      <c r="U10" s="8" t="s">
        <v>36</v>
      </c>
      <c r="V10" s="8" t="s">
        <v>37</v>
      </c>
      <c r="W10" s="8" t="s">
        <v>38</v>
      </c>
      <c r="X10" s="8" t="s">
        <v>39</v>
      </c>
      <c r="Y10" s="5" t="s">
        <v>9</v>
      </c>
      <c r="Z10" s="6" t="s">
        <v>19</v>
      </c>
    </row>
    <row r="11" spans="2:26" ht="15.6" x14ac:dyDescent="0.3">
      <c r="B11" s="9">
        <v>5.4</v>
      </c>
      <c r="C11" s="852" t="str">
        <f>C5</f>
        <v>Operational Cost</v>
      </c>
      <c r="D11" s="853"/>
      <c r="E11" s="853"/>
      <c r="F11" s="853"/>
      <c r="G11" s="853"/>
      <c r="H11" s="853"/>
      <c r="I11" s="854"/>
      <c r="J11" s="4"/>
      <c r="K11" s="7">
        <v>196</v>
      </c>
      <c r="L11" s="7">
        <v>196</v>
      </c>
      <c r="M11" s="7">
        <v>196</v>
      </c>
      <c r="N11" s="7">
        <v>196</v>
      </c>
      <c r="O11" s="8">
        <v>196</v>
      </c>
      <c r="P11" s="8">
        <v>196</v>
      </c>
      <c r="Q11" s="8">
        <v>196</v>
      </c>
      <c r="R11" s="8">
        <v>196</v>
      </c>
      <c r="S11" s="8">
        <v>196</v>
      </c>
      <c r="T11" s="8">
        <v>196</v>
      </c>
      <c r="U11" s="8">
        <v>196</v>
      </c>
      <c r="V11" s="8">
        <v>196</v>
      </c>
      <c r="W11" s="8">
        <v>196</v>
      </c>
      <c r="X11" s="8">
        <v>196</v>
      </c>
      <c r="Y11" s="8">
        <v>196</v>
      </c>
      <c r="Z11" s="6">
        <v>196</v>
      </c>
    </row>
    <row r="12" spans="2:26" x14ac:dyDescent="0.3">
      <c r="B12" s="3"/>
      <c r="C12" s="3"/>
      <c r="D12" s="3"/>
      <c r="E12" s="3"/>
      <c r="F12" s="3"/>
      <c r="G12" s="3"/>
      <c r="H12" s="3"/>
      <c r="I12" s="464"/>
      <c r="J12" s="4"/>
      <c r="K12" s="7"/>
      <c r="L12" s="7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6"/>
    </row>
    <row r="13" spans="2:26" x14ac:dyDescent="0.3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x14ac:dyDescent="0.3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x14ac:dyDescent="0.3">
      <c r="B15" s="838" t="str">
        <f>+C11</f>
        <v>Operational Cost</v>
      </c>
      <c r="C15" s="839"/>
      <c r="D15" s="839"/>
      <c r="E15" s="839"/>
      <c r="F15" s="839"/>
      <c r="G15" s="839"/>
      <c r="H15" s="839"/>
      <c r="I15" s="840"/>
      <c r="J15" s="458"/>
      <c r="K15" s="820" t="s">
        <v>26</v>
      </c>
      <c r="L15" s="820"/>
      <c r="M15" s="820"/>
      <c r="N15" s="820"/>
      <c r="O15" s="518" t="str">
        <f>O9</f>
        <v>Year 1</v>
      </c>
      <c r="P15" s="821" t="s">
        <v>27</v>
      </c>
      <c r="Q15" s="821"/>
      <c r="R15" s="821"/>
      <c r="S15" s="821"/>
      <c r="T15" s="11" t="str">
        <f>T9</f>
        <v>Year 2</v>
      </c>
      <c r="U15" s="821" t="s">
        <v>28</v>
      </c>
      <c r="V15" s="821"/>
      <c r="W15" s="821"/>
      <c r="X15" s="821"/>
      <c r="Y15" s="12" t="str">
        <f>Y9</f>
        <v>Year 3</v>
      </c>
      <c r="Z15" s="13" t="s">
        <v>19</v>
      </c>
    </row>
    <row r="16" spans="2:26" ht="18" x14ac:dyDescent="0.35">
      <c r="B16" s="464"/>
      <c r="C16" s="464" t="s">
        <v>49</v>
      </c>
      <c r="D16" s="464" t="s">
        <v>50</v>
      </c>
      <c r="E16" s="464" t="s">
        <v>51</v>
      </c>
      <c r="F16" s="464" t="s">
        <v>52</v>
      </c>
      <c r="G16" s="3" t="s">
        <v>521</v>
      </c>
      <c r="H16" s="464" t="s">
        <v>54</v>
      </c>
      <c r="I16" s="464" t="s">
        <v>55</v>
      </c>
      <c r="J16" s="458"/>
      <c r="K16" s="464" t="s">
        <v>36</v>
      </c>
      <c r="L16" s="464" t="s">
        <v>37</v>
      </c>
      <c r="M16" s="464" t="s">
        <v>38</v>
      </c>
      <c r="N16" s="464" t="s">
        <v>39</v>
      </c>
      <c r="O16" s="12" t="s">
        <v>9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9</v>
      </c>
      <c r="U16" s="12" t="s">
        <v>36</v>
      </c>
      <c r="V16" s="12" t="s">
        <v>37</v>
      </c>
      <c r="W16" s="12" t="s">
        <v>38</v>
      </c>
      <c r="X16" s="12" t="s">
        <v>39</v>
      </c>
      <c r="Y16" s="12" t="s">
        <v>9</v>
      </c>
      <c r="Z16" s="13"/>
    </row>
    <row r="17" spans="2:28" ht="15.6" x14ac:dyDescent="0.3">
      <c r="B17" s="464">
        <v>5.4</v>
      </c>
      <c r="C17" s="466" t="s">
        <v>133</v>
      </c>
      <c r="D17" s="464">
        <v>44640</v>
      </c>
      <c r="E17" s="519" t="s">
        <v>518</v>
      </c>
      <c r="F17" s="519" t="s">
        <v>518</v>
      </c>
      <c r="G17" s="497">
        <v>0.22</v>
      </c>
      <c r="H17" s="464">
        <f>D17*G17</f>
        <v>9820.7999999999993</v>
      </c>
      <c r="I17" s="464">
        <f>H17/54</f>
        <v>181.86666666666665</v>
      </c>
      <c r="J17" s="458"/>
      <c r="K17" s="464">
        <f>I17*K11*3</f>
        <v>106937.59999999998</v>
      </c>
      <c r="L17" s="464">
        <f>K17</f>
        <v>106937.59999999998</v>
      </c>
      <c r="M17" s="464">
        <f>L17</f>
        <v>106937.59999999998</v>
      </c>
      <c r="N17" s="464">
        <f>M17</f>
        <v>106937.59999999998</v>
      </c>
      <c r="O17" s="12">
        <f>K17+L17+M17+N17</f>
        <v>427750.39999999991</v>
      </c>
      <c r="P17" s="12">
        <f>K17*1.05</f>
        <v>112284.47999999998</v>
      </c>
      <c r="Q17" s="12">
        <f>P17</f>
        <v>112284.47999999998</v>
      </c>
      <c r="R17" s="12">
        <f>Q17</f>
        <v>112284.47999999998</v>
      </c>
      <c r="S17" s="12">
        <f>R17</f>
        <v>112284.47999999998</v>
      </c>
      <c r="T17" s="12">
        <f>P17+Q17+R17+S17</f>
        <v>449137.91999999993</v>
      </c>
      <c r="U17" s="12">
        <f>P17*1.05</f>
        <v>117898.70399999998</v>
      </c>
      <c r="V17" s="12">
        <f>Q17*1.05</f>
        <v>117898.70399999998</v>
      </c>
      <c r="W17" s="12">
        <f>R17*1.05</f>
        <v>117898.70399999998</v>
      </c>
      <c r="X17" s="12">
        <f>S17*1.05</f>
        <v>117898.70399999998</v>
      </c>
      <c r="Y17" s="12">
        <f>U17+V17+W17+X17</f>
        <v>471594.81599999993</v>
      </c>
      <c r="Z17" s="13">
        <f>O17+T17+Y17</f>
        <v>1348483.1359999997</v>
      </c>
    </row>
    <row r="18" spans="2:28" x14ac:dyDescent="0.3">
      <c r="B18" s="467"/>
      <c r="C18" s="467" t="s">
        <v>56</v>
      </c>
      <c r="D18" s="467"/>
      <c r="E18" s="467"/>
      <c r="F18" s="467"/>
      <c r="G18" s="467"/>
      <c r="H18" s="467"/>
      <c r="I18" s="467"/>
      <c r="J18" s="473"/>
      <c r="K18" s="467">
        <f>K17</f>
        <v>106937.59999999998</v>
      </c>
      <c r="L18" s="467">
        <f t="shared" ref="L18:Z18" si="0">L17</f>
        <v>106937.59999999998</v>
      </c>
      <c r="M18" s="467">
        <f t="shared" si="0"/>
        <v>106937.59999999998</v>
      </c>
      <c r="N18" s="467">
        <f t="shared" si="0"/>
        <v>106937.59999999998</v>
      </c>
      <c r="O18" s="15">
        <f t="shared" si="0"/>
        <v>427750.39999999991</v>
      </c>
      <c r="P18" s="15">
        <f t="shared" si="0"/>
        <v>112284.47999999998</v>
      </c>
      <c r="Q18" s="15">
        <f t="shared" si="0"/>
        <v>112284.47999999998</v>
      </c>
      <c r="R18" s="15">
        <f t="shared" si="0"/>
        <v>112284.47999999998</v>
      </c>
      <c r="S18" s="15">
        <f t="shared" si="0"/>
        <v>112284.47999999998</v>
      </c>
      <c r="T18" s="15">
        <f t="shared" si="0"/>
        <v>449137.91999999993</v>
      </c>
      <c r="U18" s="15">
        <f t="shared" si="0"/>
        <v>117898.70399999998</v>
      </c>
      <c r="V18" s="15">
        <f t="shared" si="0"/>
        <v>117898.70399999998</v>
      </c>
      <c r="W18" s="15">
        <f t="shared" si="0"/>
        <v>117898.70399999998</v>
      </c>
      <c r="X18" s="15">
        <f t="shared" si="0"/>
        <v>117898.70399999998</v>
      </c>
      <c r="Y18" s="15">
        <f t="shared" si="0"/>
        <v>471594.81599999993</v>
      </c>
      <c r="Z18" s="15">
        <f t="shared" si="0"/>
        <v>1348483.1359999997</v>
      </c>
      <c r="AB18" s="646"/>
    </row>
    <row r="19" spans="2:28" x14ac:dyDescent="0.3">
      <c r="AB19" s="134"/>
    </row>
    <row r="20" spans="2:28" ht="35.1" customHeight="1" x14ac:dyDescent="0.3">
      <c r="C20" s="851" t="s">
        <v>589</v>
      </c>
      <c r="D20" s="851"/>
      <c r="E20" s="851"/>
      <c r="F20" s="851"/>
      <c r="G20" s="851"/>
      <c r="H20" s="851"/>
      <c r="I20" s="851"/>
    </row>
  </sheetData>
  <mergeCells count="10">
    <mergeCell ref="C20:I20"/>
    <mergeCell ref="B8:I8"/>
    <mergeCell ref="K9:N9"/>
    <mergeCell ref="P9:S9"/>
    <mergeCell ref="U9:X9"/>
    <mergeCell ref="C11:I11"/>
    <mergeCell ref="B15:I15"/>
    <mergeCell ref="K15:N15"/>
    <mergeCell ref="P15:S15"/>
    <mergeCell ref="U15:X15"/>
  </mergeCells>
  <pageMargins left="0.7" right="0.7" top="0.75" bottom="0.75" header="0.3" footer="0.3"/>
  <pageSetup paperSize="8" scale="63" orientation="landscape" horizontalDpi="2400" verticalDpi="240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4:AF48"/>
  <sheetViews>
    <sheetView topLeftCell="A17" zoomScale="90" zoomScaleNormal="90" zoomScalePageLayoutView="90" workbookViewId="0">
      <selection activeCell="B49" sqref="B49:J49"/>
    </sheetView>
  </sheetViews>
  <sheetFormatPr defaultColWidth="8.6640625" defaultRowHeight="14.4" x14ac:dyDescent="0.3"/>
  <cols>
    <col min="1" max="1" width="2.44140625" style="1" customWidth="1"/>
    <col min="2" max="2" width="11.33203125" style="37" customWidth="1"/>
    <col min="3" max="3" width="61.44140625" style="1" customWidth="1"/>
    <col min="4" max="4" width="15.44140625" style="1" bestFit="1" customWidth="1"/>
    <col min="5" max="5" width="17" style="1" customWidth="1"/>
    <col min="6" max="6" width="17" style="1" bestFit="1" customWidth="1"/>
    <col min="7" max="7" width="17.6640625" style="1" bestFit="1" customWidth="1"/>
    <col min="8" max="8" width="17.44140625" style="1" bestFit="1" customWidth="1"/>
    <col min="9" max="9" width="15" style="458" bestFit="1" customWidth="1"/>
    <col min="10" max="10" width="11.6640625" style="1" bestFit="1" customWidth="1"/>
    <col min="11" max="15" width="14.44140625" style="1" bestFit="1" customWidth="1"/>
    <col min="16" max="19" width="17" style="1" hidden="1" customWidth="1"/>
    <col min="20" max="20" width="17" style="1" bestFit="1" customWidth="1"/>
    <col min="21" max="24" width="17" style="1" hidden="1" customWidth="1"/>
    <col min="25" max="25" width="17" style="1" bestFit="1" customWidth="1"/>
    <col min="26" max="26" width="17.6640625" style="1" bestFit="1" customWidth="1"/>
    <col min="27" max="256" width="8.6640625" style="1"/>
    <col min="257" max="257" width="2.44140625" style="1" customWidth="1"/>
    <col min="258" max="258" width="11.33203125" style="1" customWidth="1"/>
    <col min="259" max="259" width="61.44140625" style="1" customWidth="1"/>
    <col min="260" max="260" width="15.44140625" style="1" bestFit="1" customWidth="1"/>
    <col min="261" max="261" width="17" style="1" customWidth="1"/>
    <col min="262" max="262" width="17" style="1" bestFit="1" customWidth="1"/>
    <col min="263" max="263" width="17.6640625" style="1" bestFit="1" customWidth="1"/>
    <col min="264" max="264" width="17.44140625" style="1" bestFit="1" customWidth="1"/>
    <col min="265" max="265" width="15" style="1" bestFit="1" customWidth="1"/>
    <col min="266" max="266" width="11.6640625" style="1" bestFit="1" customWidth="1"/>
    <col min="267" max="271" width="14.44140625" style="1" bestFit="1" customWidth="1"/>
    <col min="272" max="275" width="0" style="1" hidden="1" customWidth="1"/>
    <col min="276" max="276" width="17" style="1" bestFit="1" customWidth="1"/>
    <col min="277" max="280" width="0" style="1" hidden="1" customWidth="1"/>
    <col min="281" max="281" width="17" style="1" bestFit="1" customWidth="1"/>
    <col min="282" max="282" width="17.6640625" style="1" bestFit="1" customWidth="1"/>
    <col min="283" max="512" width="8.6640625" style="1"/>
    <col min="513" max="513" width="2.44140625" style="1" customWidth="1"/>
    <col min="514" max="514" width="11.33203125" style="1" customWidth="1"/>
    <col min="515" max="515" width="61.44140625" style="1" customWidth="1"/>
    <col min="516" max="516" width="15.44140625" style="1" bestFit="1" customWidth="1"/>
    <col min="517" max="517" width="17" style="1" customWidth="1"/>
    <col min="518" max="518" width="17" style="1" bestFit="1" customWidth="1"/>
    <col min="519" max="519" width="17.6640625" style="1" bestFit="1" customWidth="1"/>
    <col min="520" max="520" width="17.44140625" style="1" bestFit="1" customWidth="1"/>
    <col min="521" max="521" width="15" style="1" bestFit="1" customWidth="1"/>
    <col min="522" max="522" width="11.6640625" style="1" bestFit="1" customWidth="1"/>
    <col min="523" max="527" width="14.44140625" style="1" bestFit="1" customWidth="1"/>
    <col min="528" max="531" width="0" style="1" hidden="1" customWidth="1"/>
    <col min="532" max="532" width="17" style="1" bestFit="1" customWidth="1"/>
    <col min="533" max="536" width="0" style="1" hidden="1" customWidth="1"/>
    <col min="537" max="537" width="17" style="1" bestFit="1" customWidth="1"/>
    <col min="538" max="538" width="17.6640625" style="1" bestFit="1" customWidth="1"/>
    <col min="539" max="768" width="8.6640625" style="1"/>
    <col min="769" max="769" width="2.44140625" style="1" customWidth="1"/>
    <col min="770" max="770" width="11.33203125" style="1" customWidth="1"/>
    <col min="771" max="771" width="61.44140625" style="1" customWidth="1"/>
    <col min="772" max="772" width="15.44140625" style="1" bestFit="1" customWidth="1"/>
    <col min="773" max="773" width="17" style="1" customWidth="1"/>
    <col min="774" max="774" width="17" style="1" bestFit="1" customWidth="1"/>
    <col min="775" max="775" width="17.6640625" style="1" bestFit="1" customWidth="1"/>
    <col min="776" max="776" width="17.44140625" style="1" bestFit="1" customWidth="1"/>
    <col min="777" max="777" width="15" style="1" bestFit="1" customWidth="1"/>
    <col min="778" max="778" width="11.6640625" style="1" bestFit="1" customWidth="1"/>
    <col min="779" max="783" width="14.44140625" style="1" bestFit="1" customWidth="1"/>
    <col min="784" max="787" width="0" style="1" hidden="1" customWidth="1"/>
    <col min="788" max="788" width="17" style="1" bestFit="1" customWidth="1"/>
    <col min="789" max="792" width="0" style="1" hidden="1" customWidth="1"/>
    <col min="793" max="793" width="17" style="1" bestFit="1" customWidth="1"/>
    <col min="794" max="794" width="17.6640625" style="1" bestFit="1" customWidth="1"/>
    <col min="795" max="1024" width="8.6640625" style="1"/>
    <col min="1025" max="1025" width="2.44140625" style="1" customWidth="1"/>
    <col min="1026" max="1026" width="11.33203125" style="1" customWidth="1"/>
    <col min="1027" max="1027" width="61.44140625" style="1" customWidth="1"/>
    <col min="1028" max="1028" width="15.44140625" style="1" bestFit="1" customWidth="1"/>
    <col min="1029" max="1029" width="17" style="1" customWidth="1"/>
    <col min="1030" max="1030" width="17" style="1" bestFit="1" customWidth="1"/>
    <col min="1031" max="1031" width="17.6640625" style="1" bestFit="1" customWidth="1"/>
    <col min="1032" max="1032" width="17.44140625" style="1" bestFit="1" customWidth="1"/>
    <col min="1033" max="1033" width="15" style="1" bestFit="1" customWidth="1"/>
    <col min="1034" max="1034" width="11.6640625" style="1" bestFit="1" customWidth="1"/>
    <col min="1035" max="1039" width="14.44140625" style="1" bestFit="1" customWidth="1"/>
    <col min="1040" max="1043" width="0" style="1" hidden="1" customWidth="1"/>
    <col min="1044" max="1044" width="17" style="1" bestFit="1" customWidth="1"/>
    <col min="1045" max="1048" width="0" style="1" hidden="1" customWidth="1"/>
    <col min="1049" max="1049" width="17" style="1" bestFit="1" customWidth="1"/>
    <col min="1050" max="1050" width="17.6640625" style="1" bestFit="1" customWidth="1"/>
    <col min="1051" max="1280" width="8.6640625" style="1"/>
    <col min="1281" max="1281" width="2.44140625" style="1" customWidth="1"/>
    <col min="1282" max="1282" width="11.33203125" style="1" customWidth="1"/>
    <col min="1283" max="1283" width="61.44140625" style="1" customWidth="1"/>
    <col min="1284" max="1284" width="15.44140625" style="1" bestFit="1" customWidth="1"/>
    <col min="1285" max="1285" width="17" style="1" customWidth="1"/>
    <col min="1286" max="1286" width="17" style="1" bestFit="1" customWidth="1"/>
    <col min="1287" max="1287" width="17.6640625" style="1" bestFit="1" customWidth="1"/>
    <col min="1288" max="1288" width="17.44140625" style="1" bestFit="1" customWidth="1"/>
    <col min="1289" max="1289" width="15" style="1" bestFit="1" customWidth="1"/>
    <col min="1290" max="1290" width="11.6640625" style="1" bestFit="1" customWidth="1"/>
    <col min="1291" max="1295" width="14.44140625" style="1" bestFit="1" customWidth="1"/>
    <col min="1296" max="1299" width="0" style="1" hidden="1" customWidth="1"/>
    <col min="1300" max="1300" width="17" style="1" bestFit="1" customWidth="1"/>
    <col min="1301" max="1304" width="0" style="1" hidden="1" customWidth="1"/>
    <col min="1305" max="1305" width="17" style="1" bestFit="1" customWidth="1"/>
    <col min="1306" max="1306" width="17.6640625" style="1" bestFit="1" customWidth="1"/>
    <col min="1307" max="1536" width="8.6640625" style="1"/>
    <col min="1537" max="1537" width="2.44140625" style="1" customWidth="1"/>
    <col min="1538" max="1538" width="11.33203125" style="1" customWidth="1"/>
    <col min="1539" max="1539" width="61.44140625" style="1" customWidth="1"/>
    <col min="1540" max="1540" width="15.44140625" style="1" bestFit="1" customWidth="1"/>
    <col min="1541" max="1541" width="17" style="1" customWidth="1"/>
    <col min="1542" max="1542" width="17" style="1" bestFit="1" customWidth="1"/>
    <col min="1543" max="1543" width="17.6640625" style="1" bestFit="1" customWidth="1"/>
    <col min="1544" max="1544" width="17.44140625" style="1" bestFit="1" customWidth="1"/>
    <col min="1545" max="1545" width="15" style="1" bestFit="1" customWidth="1"/>
    <col min="1546" max="1546" width="11.6640625" style="1" bestFit="1" customWidth="1"/>
    <col min="1547" max="1551" width="14.44140625" style="1" bestFit="1" customWidth="1"/>
    <col min="1552" max="1555" width="0" style="1" hidden="1" customWidth="1"/>
    <col min="1556" max="1556" width="17" style="1" bestFit="1" customWidth="1"/>
    <col min="1557" max="1560" width="0" style="1" hidden="1" customWidth="1"/>
    <col min="1561" max="1561" width="17" style="1" bestFit="1" customWidth="1"/>
    <col min="1562" max="1562" width="17.6640625" style="1" bestFit="1" customWidth="1"/>
    <col min="1563" max="1792" width="8.6640625" style="1"/>
    <col min="1793" max="1793" width="2.44140625" style="1" customWidth="1"/>
    <col min="1794" max="1794" width="11.33203125" style="1" customWidth="1"/>
    <col min="1795" max="1795" width="61.44140625" style="1" customWidth="1"/>
    <col min="1796" max="1796" width="15.44140625" style="1" bestFit="1" customWidth="1"/>
    <col min="1797" max="1797" width="17" style="1" customWidth="1"/>
    <col min="1798" max="1798" width="17" style="1" bestFit="1" customWidth="1"/>
    <col min="1799" max="1799" width="17.6640625" style="1" bestFit="1" customWidth="1"/>
    <col min="1800" max="1800" width="17.44140625" style="1" bestFit="1" customWidth="1"/>
    <col min="1801" max="1801" width="15" style="1" bestFit="1" customWidth="1"/>
    <col min="1802" max="1802" width="11.6640625" style="1" bestFit="1" customWidth="1"/>
    <col min="1803" max="1807" width="14.44140625" style="1" bestFit="1" customWidth="1"/>
    <col min="1808" max="1811" width="0" style="1" hidden="1" customWidth="1"/>
    <col min="1812" max="1812" width="17" style="1" bestFit="1" customWidth="1"/>
    <col min="1813" max="1816" width="0" style="1" hidden="1" customWidth="1"/>
    <col min="1817" max="1817" width="17" style="1" bestFit="1" customWidth="1"/>
    <col min="1818" max="1818" width="17.6640625" style="1" bestFit="1" customWidth="1"/>
    <col min="1819" max="2048" width="8.6640625" style="1"/>
    <col min="2049" max="2049" width="2.44140625" style="1" customWidth="1"/>
    <col min="2050" max="2050" width="11.33203125" style="1" customWidth="1"/>
    <col min="2051" max="2051" width="61.44140625" style="1" customWidth="1"/>
    <col min="2052" max="2052" width="15.44140625" style="1" bestFit="1" customWidth="1"/>
    <col min="2053" max="2053" width="17" style="1" customWidth="1"/>
    <col min="2054" max="2054" width="17" style="1" bestFit="1" customWidth="1"/>
    <col min="2055" max="2055" width="17.6640625" style="1" bestFit="1" customWidth="1"/>
    <col min="2056" max="2056" width="17.44140625" style="1" bestFit="1" customWidth="1"/>
    <col min="2057" max="2057" width="15" style="1" bestFit="1" customWidth="1"/>
    <col min="2058" max="2058" width="11.6640625" style="1" bestFit="1" customWidth="1"/>
    <col min="2059" max="2063" width="14.44140625" style="1" bestFit="1" customWidth="1"/>
    <col min="2064" max="2067" width="0" style="1" hidden="1" customWidth="1"/>
    <col min="2068" max="2068" width="17" style="1" bestFit="1" customWidth="1"/>
    <col min="2069" max="2072" width="0" style="1" hidden="1" customWidth="1"/>
    <col min="2073" max="2073" width="17" style="1" bestFit="1" customWidth="1"/>
    <col min="2074" max="2074" width="17.6640625" style="1" bestFit="1" customWidth="1"/>
    <col min="2075" max="2304" width="8.6640625" style="1"/>
    <col min="2305" max="2305" width="2.44140625" style="1" customWidth="1"/>
    <col min="2306" max="2306" width="11.33203125" style="1" customWidth="1"/>
    <col min="2307" max="2307" width="61.44140625" style="1" customWidth="1"/>
    <col min="2308" max="2308" width="15.44140625" style="1" bestFit="1" customWidth="1"/>
    <col min="2309" max="2309" width="17" style="1" customWidth="1"/>
    <col min="2310" max="2310" width="17" style="1" bestFit="1" customWidth="1"/>
    <col min="2311" max="2311" width="17.6640625" style="1" bestFit="1" customWidth="1"/>
    <col min="2312" max="2312" width="17.44140625" style="1" bestFit="1" customWidth="1"/>
    <col min="2313" max="2313" width="15" style="1" bestFit="1" customWidth="1"/>
    <col min="2314" max="2314" width="11.6640625" style="1" bestFit="1" customWidth="1"/>
    <col min="2315" max="2319" width="14.44140625" style="1" bestFit="1" customWidth="1"/>
    <col min="2320" max="2323" width="0" style="1" hidden="1" customWidth="1"/>
    <col min="2324" max="2324" width="17" style="1" bestFit="1" customWidth="1"/>
    <col min="2325" max="2328" width="0" style="1" hidden="1" customWidth="1"/>
    <col min="2329" max="2329" width="17" style="1" bestFit="1" customWidth="1"/>
    <col min="2330" max="2330" width="17.6640625" style="1" bestFit="1" customWidth="1"/>
    <col min="2331" max="2560" width="8.6640625" style="1"/>
    <col min="2561" max="2561" width="2.44140625" style="1" customWidth="1"/>
    <col min="2562" max="2562" width="11.33203125" style="1" customWidth="1"/>
    <col min="2563" max="2563" width="61.44140625" style="1" customWidth="1"/>
    <col min="2564" max="2564" width="15.44140625" style="1" bestFit="1" customWidth="1"/>
    <col min="2565" max="2565" width="17" style="1" customWidth="1"/>
    <col min="2566" max="2566" width="17" style="1" bestFit="1" customWidth="1"/>
    <col min="2567" max="2567" width="17.6640625" style="1" bestFit="1" customWidth="1"/>
    <col min="2568" max="2568" width="17.44140625" style="1" bestFit="1" customWidth="1"/>
    <col min="2569" max="2569" width="15" style="1" bestFit="1" customWidth="1"/>
    <col min="2570" max="2570" width="11.6640625" style="1" bestFit="1" customWidth="1"/>
    <col min="2571" max="2575" width="14.44140625" style="1" bestFit="1" customWidth="1"/>
    <col min="2576" max="2579" width="0" style="1" hidden="1" customWidth="1"/>
    <col min="2580" max="2580" width="17" style="1" bestFit="1" customWidth="1"/>
    <col min="2581" max="2584" width="0" style="1" hidden="1" customWidth="1"/>
    <col min="2585" max="2585" width="17" style="1" bestFit="1" customWidth="1"/>
    <col min="2586" max="2586" width="17.6640625" style="1" bestFit="1" customWidth="1"/>
    <col min="2587" max="2816" width="8.6640625" style="1"/>
    <col min="2817" max="2817" width="2.44140625" style="1" customWidth="1"/>
    <col min="2818" max="2818" width="11.33203125" style="1" customWidth="1"/>
    <col min="2819" max="2819" width="61.44140625" style="1" customWidth="1"/>
    <col min="2820" max="2820" width="15.44140625" style="1" bestFit="1" customWidth="1"/>
    <col min="2821" max="2821" width="17" style="1" customWidth="1"/>
    <col min="2822" max="2822" width="17" style="1" bestFit="1" customWidth="1"/>
    <col min="2823" max="2823" width="17.6640625" style="1" bestFit="1" customWidth="1"/>
    <col min="2824" max="2824" width="17.44140625" style="1" bestFit="1" customWidth="1"/>
    <col min="2825" max="2825" width="15" style="1" bestFit="1" customWidth="1"/>
    <col min="2826" max="2826" width="11.6640625" style="1" bestFit="1" customWidth="1"/>
    <col min="2827" max="2831" width="14.44140625" style="1" bestFit="1" customWidth="1"/>
    <col min="2832" max="2835" width="0" style="1" hidden="1" customWidth="1"/>
    <col min="2836" max="2836" width="17" style="1" bestFit="1" customWidth="1"/>
    <col min="2837" max="2840" width="0" style="1" hidden="1" customWidth="1"/>
    <col min="2841" max="2841" width="17" style="1" bestFit="1" customWidth="1"/>
    <col min="2842" max="2842" width="17.6640625" style="1" bestFit="1" customWidth="1"/>
    <col min="2843" max="3072" width="8.6640625" style="1"/>
    <col min="3073" max="3073" width="2.44140625" style="1" customWidth="1"/>
    <col min="3074" max="3074" width="11.33203125" style="1" customWidth="1"/>
    <col min="3075" max="3075" width="61.44140625" style="1" customWidth="1"/>
    <col min="3076" max="3076" width="15.44140625" style="1" bestFit="1" customWidth="1"/>
    <col min="3077" max="3077" width="17" style="1" customWidth="1"/>
    <col min="3078" max="3078" width="17" style="1" bestFit="1" customWidth="1"/>
    <col min="3079" max="3079" width="17.6640625" style="1" bestFit="1" customWidth="1"/>
    <col min="3080" max="3080" width="17.44140625" style="1" bestFit="1" customWidth="1"/>
    <col min="3081" max="3081" width="15" style="1" bestFit="1" customWidth="1"/>
    <col min="3082" max="3082" width="11.6640625" style="1" bestFit="1" customWidth="1"/>
    <col min="3083" max="3087" width="14.44140625" style="1" bestFit="1" customWidth="1"/>
    <col min="3088" max="3091" width="0" style="1" hidden="1" customWidth="1"/>
    <col min="3092" max="3092" width="17" style="1" bestFit="1" customWidth="1"/>
    <col min="3093" max="3096" width="0" style="1" hidden="1" customWidth="1"/>
    <col min="3097" max="3097" width="17" style="1" bestFit="1" customWidth="1"/>
    <col min="3098" max="3098" width="17.6640625" style="1" bestFit="1" customWidth="1"/>
    <col min="3099" max="3328" width="8.6640625" style="1"/>
    <col min="3329" max="3329" width="2.44140625" style="1" customWidth="1"/>
    <col min="3330" max="3330" width="11.33203125" style="1" customWidth="1"/>
    <col min="3331" max="3331" width="61.44140625" style="1" customWidth="1"/>
    <col min="3332" max="3332" width="15.44140625" style="1" bestFit="1" customWidth="1"/>
    <col min="3333" max="3333" width="17" style="1" customWidth="1"/>
    <col min="3334" max="3334" width="17" style="1" bestFit="1" customWidth="1"/>
    <col min="3335" max="3335" width="17.6640625" style="1" bestFit="1" customWidth="1"/>
    <col min="3336" max="3336" width="17.44140625" style="1" bestFit="1" customWidth="1"/>
    <col min="3337" max="3337" width="15" style="1" bestFit="1" customWidth="1"/>
    <col min="3338" max="3338" width="11.6640625" style="1" bestFit="1" customWidth="1"/>
    <col min="3339" max="3343" width="14.44140625" style="1" bestFit="1" customWidth="1"/>
    <col min="3344" max="3347" width="0" style="1" hidden="1" customWidth="1"/>
    <col min="3348" max="3348" width="17" style="1" bestFit="1" customWidth="1"/>
    <col min="3349" max="3352" width="0" style="1" hidden="1" customWidth="1"/>
    <col min="3353" max="3353" width="17" style="1" bestFit="1" customWidth="1"/>
    <col min="3354" max="3354" width="17.6640625" style="1" bestFit="1" customWidth="1"/>
    <col min="3355" max="3584" width="8.6640625" style="1"/>
    <col min="3585" max="3585" width="2.44140625" style="1" customWidth="1"/>
    <col min="3586" max="3586" width="11.33203125" style="1" customWidth="1"/>
    <col min="3587" max="3587" width="61.44140625" style="1" customWidth="1"/>
    <col min="3588" max="3588" width="15.44140625" style="1" bestFit="1" customWidth="1"/>
    <col min="3589" max="3589" width="17" style="1" customWidth="1"/>
    <col min="3590" max="3590" width="17" style="1" bestFit="1" customWidth="1"/>
    <col min="3591" max="3591" width="17.6640625" style="1" bestFit="1" customWidth="1"/>
    <col min="3592" max="3592" width="17.44140625" style="1" bestFit="1" customWidth="1"/>
    <col min="3593" max="3593" width="15" style="1" bestFit="1" customWidth="1"/>
    <col min="3594" max="3594" width="11.6640625" style="1" bestFit="1" customWidth="1"/>
    <col min="3595" max="3599" width="14.44140625" style="1" bestFit="1" customWidth="1"/>
    <col min="3600" max="3603" width="0" style="1" hidden="1" customWidth="1"/>
    <col min="3604" max="3604" width="17" style="1" bestFit="1" customWidth="1"/>
    <col min="3605" max="3608" width="0" style="1" hidden="1" customWidth="1"/>
    <col min="3609" max="3609" width="17" style="1" bestFit="1" customWidth="1"/>
    <col min="3610" max="3610" width="17.6640625" style="1" bestFit="1" customWidth="1"/>
    <col min="3611" max="3840" width="8.6640625" style="1"/>
    <col min="3841" max="3841" width="2.44140625" style="1" customWidth="1"/>
    <col min="3842" max="3842" width="11.33203125" style="1" customWidth="1"/>
    <col min="3843" max="3843" width="61.44140625" style="1" customWidth="1"/>
    <col min="3844" max="3844" width="15.44140625" style="1" bestFit="1" customWidth="1"/>
    <col min="3845" max="3845" width="17" style="1" customWidth="1"/>
    <col min="3846" max="3846" width="17" style="1" bestFit="1" customWidth="1"/>
    <col min="3847" max="3847" width="17.6640625" style="1" bestFit="1" customWidth="1"/>
    <col min="3848" max="3848" width="17.44140625" style="1" bestFit="1" customWidth="1"/>
    <col min="3849" max="3849" width="15" style="1" bestFit="1" customWidth="1"/>
    <col min="3850" max="3850" width="11.6640625" style="1" bestFit="1" customWidth="1"/>
    <col min="3851" max="3855" width="14.44140625" style="1" bestFit="1" customWidth="1"/>
    <col min="3856" max="3859" width="0" style="1" hidden="1" customWidth="1"/>
    <col min="3860" max="3860" width="17" style="1" bestFit="1" customWidth="1"/>
    <col min="3861" max="3864" width="0" style="1" hidden="1" customWidth="1"/>
    <col min="3865" max="3865" width="17" style="1" bestFit="1" customWidth="1"/>
    <col min="3866" max="3866" width="17.6640625" style="1" bestFit="1" customWidth="1"/>
    <col min="3867" max="4096" width="8.6640625" style="1"/>
    <col min="4097" max="4097" width="2.44140625" style="1" customWidth="1"/>
    <col min="4098" max="4098" width="11.33203125" style="1" customWidth="1"/>
    <col min="4099" max="4099" width="61.44140625" style="1" customWidth="1"/>
    <col min="4100" max="4100" width="15.44140625" style="1" bestFit="1" customWidth="1"/>
    <col min="4101" max="4101" width="17" style="1" customWidth="1"/>
    <col min="4102" max="4102" width="17" style="1" bestFit="1" customWidth="1"/>
    <col min="4103" max="4103" width="17.6640625" style="1" bestFit="1" customWidth="1"/>
    <col min="4104" max="4104" width="17.44140625" style="1" bestFit="1" customWidth="1"/>
    <col min="4105" max="4105" width="15" style="1" bestFit="1" customWidth="1"/>
    <col min="4106" max="4106" width="11.6640625" style="1" bestFit="1" customWidth="1"/>
    <col min="4107" max="4111" width="14.44140625" style="1" bestFit="1" customWidth="1"/>
    <col min="4112" max="4115" width="0" style="1" hidden="1" customWidth="1"/>
    <col min="4116" max="4116" width="17" style="1" bestFit="1" customWidth="1"/>
    <col min="4117" max="4120" width="0" style="1" hidden="1" customWidth="1"/>
    <col min="4121" max="4121" width="17" style="1" bestFit="1" customWidth="1"/>
    <col min="4122" max="4122" width="17.6640625" style="1" bestFit="1" customWidth="1"/>
    <col min="4123" max="4352" width="8.6640625" style="1"/>
    <col min="4353" max="4353" width="2.44140625" style="1" customWidth="1"/>
    <col min="4354" max="4354" width="11.33203125" style="1" customWidth="1"/>
    <col min="4355" max="4355" width="61.44140625" style="1" customWidth="1"/>
    <col min="4356" max="4356" width="15.44140625" style="1" bestFit="1" customWidth="1"/>
    <col min="4357" max="4357" width="17" style="1" customWidth="1"/>
    <col min="4358" max="4358" width="17" style="1" bestFit="1" customWidth="1"/>
    <col min="4359" max="4359" width="17.6640625" style="1" bestFit="1" customWidth="1"/>
    <col min="4360" max="4360" width="17.44140625" style="1" bestFit="1" customWidth="1"/>
    <col min="4361" max="4361" width="15" style="1" bestFit="1" customWidth="1"/>
    <col min="4362" max="4362" width="11.6640625" style="1" bestFit="1" customWidth="1"/>
    <col min="4363" max="4367" width="14.44140625" style="1" bestFit="1" customWidth="1"/>
    <col min="4368" max="4371" width="0" style="1" hidden="1" customWidth="1"/>
    <col min="4372" max="4372" width="17" style="1" bestFit="1" customWidth="1"/>
    <col min="4373" max="4376" width="0" style="1" hidden="1" customWidth="1"/>
    <col min="4377" max="4377" width="17" style="1" bestFit="1" customWidth="1"/>
    <col min="4378" max="4378" width="17.6640625" style="1" bestFit="1" customWidth="1"/>
    <col min="4379" max="4608" width="8.6640625" style="1"/>
    <col min="4609" max="4609" width="2.44140625" style="1" customWidth="1"/>
    <col min="4610" max="4610" width="11.33203125" style="1" customWidth="1"/>
    <col min="4611" max="4611" width="61.44140625" style="1" customWidth="1"/>
    <col min="4612" max="4612" width="15.44140625" style="1" bestFit="1" customWidth="1"/>
    <col min="4613" max="4613" width="17" style="1" customWidth="1"/>
    <col min="4614" max="4614" width="17" style="1" bestFit="1" customWidth="1"/>
    <col min="4615" max="4615" width="17.6640625" style="1" bestFit="1" customWidth="1"/>
    <col min="4616" max="4616" width="17.44140625" style="1" bestFit="1" customWidth="1"/>
    <col min="4617" max="4617" width="15" style="1" bestFit="1" customWidth="1"/>
    <col min="4618" max="4618" width="11.6640625" style="1" bestFit="1" customWidth="1"/>
    <col min="4619" max="4623" width="14.44140625" style="1" bestFit="1" customWidth="1"/>
    <col min="4624" max="4627" width="0" style="1" hidden="1" customWidth="1"/>
    <col min="4628" max="4628" width="17" style="1" bestFit="1" customWidth="1"/>
    <col min="4629" max="4632" width="0" style="1" hidden="1" customWidth="1"/>
    <col min="4633" max="4633" width="17" style="1" bestFit="1" customWidth="1"/>
    <col min="4634" max="4634" width="17.6640625" style="1" bestFit="1" customWidth="1"/>
    <col min="4635" max="4864" width="8.6640625" style="1"/>
    <col min="4865" max="4865" width="2.44140625" style="1" customWidth="1"/>
    <col min="4866" max="4866" width="11.33203125" style="1" customWidth="1"/>
    <col min="4867" max="4867" width="61.44140625" style="1" customWidth="1"/>
    <col min="4868" max="4868" width="15.44140625" style="1" bestFit="1" customWidth="1"/>
    <col min="4869" max="4869" width="17" style="1" customWidth="1"/>
    <col min="4870" max="4870" width="17" style="1" bestFit="1" customWidth="1"/>
    <col min="4871" max="4871" width="17.6640625" style="1" bestFit="1" customWidth="1"/>
    <col min="4872" max="4872" width="17.44140625" style="1" bestFit="1" customWidth="1"/>
    <col min="4873" max="4873" width="15" style="1" bestFit="1" customWidth="1"/>
    <col min="4874" max="4874" width="11.6640625" style="1" bestFit="1" customWidth="1"/>
    <col min="4875" max="4879" width="14.44140625" style="1" bestFit="1" customWidth="1"/>
    <col min="4880" max="4883" width="0" style="1" hidden="1" customWidth="1"/>
    <col min="4884" max="4884" width="17" style="1" bestFit="1" customWidth="1"/>
    <col min="4885" max="4888" width="0" style="1" hidden="1" customWidth="1"/>
    <col min="4889" max="4889" width="17" style="1" bestFit="1" customWidth="1"/>
    <col min="4890" max="4890" width="17.6640625" style="1" bestFit="1" customWidth="1"/>
    <col min="4891" max="5120" width="8.6640625" style="1"/>
    <col min="5121" max="5121" width="2.44140625" style="1" customWidth="1"/>
    <col min="5122" max="5122" width="11.33203125" style="1" customWidth="1"/>
    <col min="5123" max="5123" width="61.44140625" style="1" customWidth="1"/>
    <col min="5124" max="5124" width="15.44140625" style="1" bestFit="1" customWidth="1"/>
    <col min="5125" max="5125" width="17" style="1" customWidth="1"/>
    <col min="5126" max="5126" width="17" style="1" bestFit="1" customWidth="1"/>
    <col min="5127" max="5127" width="17.6640625" style="1" bestFit="1" customWidth="1"/>
    <col min="5128" max="5128" width="17.44140625" style="1" bestFit="1" customWidth="1"/>
    <col min="5129" max="5129" width="15" style="1" bestFit="1" customWidth="1"/>
    <col min="5130" max="5130" width="11.6640625" style="1" bestFit="1" customWidth="1"/>
    <col min="5131" max="5135" width="14.44140625" style="1" bestFit="1" customWidth="1"/>
    <col min="5136" max="5139" width="0" style="1" hidden="1" customWidth="1"/>
    <col min="5140" max="5140" width="17" style="1" bestFit="1" customWidth="1"/>
    <col min="5141" max="5144" width="0" style="1" hidden="1" customWidth="1"/>
    <col min="5145" max="5145" width="17" style="1" bestFit="1" customWidth="1"/>
    <col min="5146" max="5146" width="17.6640625" style="1" bestFit="1" customWidth="1"/>
    <col min="5147" max="5376" width="8.6640625" style="1"/>
    <col min="5377" max="5377" width="2.44140625" style="1" customWidth="1"/>
    <col min="5378" max="5378" width="11.33203125" style="1" customWidth="1"/>
    <col min="5379" max="5379" width="61.44140625" style="1" customWidth="1"/>
    <col min="5380" max="5380" width="15.44140625" style="1" bestFit="1" customWidth="1"/>
    <col min="5381" max="5381" width="17" style="1" customWidth="1"/>
    <col min="5382" max="5382" width="17" style="1" bestFit="1" customWidth="1"/>
    <col min="5383" max="5383" width="17.6640625" style="1" bestFit="1" customWidth="1"/>
    <col min="5384" max="5384" width="17.44140625" style="1" bestFit="1" customWidth="1"/>
    <col min="5385" max="5385" width="15" style="1" bestFit="1" customWidth="1"/>
    <col min="5386" max="5386" width="11.6640625" style="1" bestFit="1" customWidth="1"/>
    <col min="5387" max="5391" width="14.44140625" style="1" bestFit="1" customWidth="1"/>
    <col min="5392" max="5395" width="0" style="1" hidden="1" customWidth="1"/>
    <col min="5396" max="5396" width="17" style="1" bestFit="1" customWidth="1"/>
    <col min="5397" max="5400" width="0" style="1" hidden="1" customWidth="1"/>
    <col min="5401" max="5401" width="17" style="1" bestFit="1" customWidth="1"/>
    <col min="5402" max="5402" width="17.6640625" style="1" bestFit="1" customWidth="1"/>
    <col min="5403" max="5632" width="8.6640625" style="1"/>
    <col min="5633" max="5633" width="2.44140625" style="1" customWidth="1"/>
    <col min="5634" max="5634" width="11.33203125" style="1" customWidth="1"/>
    <col min="5635" max="5635" width="61.44140625" style="1" customWidth="1"/>
    <col min="5636" max="5636" width="15.44140625" style="1" bestFit="1" customWidth="1"/>
    <col min="5637" max="5637" width="17" style="1" customWidth="1"/>
    <col min="5638" max="5638" width="17" style="1" bestFit="1" customWidth="1"/>
    <col min="5639" max="5639" width="17.6640625" style="1" bestFit="1" customWidth="1"/>
    <col min="5640" max="5640" width="17.44140625" style="1" bestFit="1" customWidth="1"/>
    <col min="5641" max="5641" width="15" style="1" bestFit="1" customWidth="1"/>
    <col min="5642" max="5642" width="11.6640625" style="1" bestFit="1" customWidth="1"/>
    <col min="5643" max="5647" width="14.44140625" style="1" bestFit="1" customWidth="1"/>
    <col min="5648" max="5651" width="0" style="1" hidden="1" customWidth="1"/>
    <col min="5652" max="5652" width="17" style="1" bestFit="1" customWidth="1"/>
    <col min="5653" max="5656" width="0" style="1" hidden="1" customWidth="1"/>
    <col min="5657" max="5657" width="17" style="1" bestFit="1" customWidth="1"/>
    <col min="5658" max="5658" width="17.6640625" style="1" bestFit="1" customWidth="1"/>
    <col min="5659" max="5888" width="8.6640625" style="1"/>
    <col min="5889" max="5889" width="2.44140625" style="1" customWidth="1"/>
    <col min="5890" max="5890" width="11.33203125" style="1" customWidth="1"/>
    <col min="5891" max="5891" width="61.44140625" style="1" customWidth="1"/>
    <col min="5892" max="5892" width="15.44140625" style="1" bestFit="1" customWidth="1"/>
    <col min="5893" max="5893" width="17" style="1" customWidth="1"/>
    <col min="5894" max="5894" width="17" style="1" bestFit="1" customWidth="1"/>
    <col min="5895" max="5895" width="17.6640625" style="1" bestFit="1" customWidth="1"/>
    <col min="5896" max="5896" width="17.44140625" style="1" bestFit="1" customWidth="1"/>
    <col min="5897" max="5897" width="15" style="1" bestFit="1" customWidth="1"/>
    <col min="5898" max="5898" width="11.6640625" style="1" bestFit="1" customWidth="1"/>
    <col min="5899" max="5903" width="14.44140625" style="1" bestFit="1" customWidth="1"/>
    <col min="5904" max="5907" width="0" style="1" hidden="1" customWidth="1"/>
    <col min="5908" max="5908" width="17" style="1" bestFit="1" customWidth="1"/>
    <col min="5909" max="5912" width="0" style="1" hidden="1" customWidth="1"/>
    <col min="5913" max="5913" width="17" style="1" bestFit="1" customWidth="1"/>
    <col min="5914" max="5914" width="17.6640625" style="1" bestFit="1" customWidth="1"/>
    <col min="5915" max="6144" width="8.6640625" style="1"/>
    <col min="6145" max="6145" width="2.44140625" style="1" customWidth="1"/>
    <col min="6146" max="6146" width="11.33203125" style="1" customWidth="1"/>
    <col min="6147" max="6147" width="61.44140625" style="1" customWidth="1"/>
    <col min="6148" max="6148" width="15.44140625" style="1" bestFit="1" customWidth="1"/>
    <col min="6149" max="6149" width="17" style="1" customWidth="1"/>
    <col min="6150" max="6150" width="17" style="1" bestFit="1" customWidth="1"/>
    <col min="6151" max="6151" width="17.6640625" style="1" bestFit="1" customWidth="1"/>
    <col min="6152" max="6152" width="17.44140625" style="1" bestFit="1" customWidth="1"/>
    <col min="6153" max="6153" width="15" style="1" bestFit="1" customWidth="1"/>
    <col min="6154" max="6154" width="11.6640625" style="1" bestFit="1" customWidth="1"/>
    <col min="6155" max="6159" width="14.44140625" style="1" bestFit="1" customWidth="1"/>
    <col min="6160" max="6163" width="0" style="1" hidden="1" customWidth="1"/>
    <col min="6164" max="6164" width="17" style="1" bestFit="1" customWidth="1"/>
    <col min="6165" max="6168" width="0" style="1" hidden="1" customWidth="1"/>
    <col min="6169" max="6169" width="17" style="1" bestFit="1" customWidth="1"/>
    <col min="6170" max="6170" width="17.6640625" style="1" bestFit="1" customWidth="1"/>
    <col min="6171" max="6400" width="8.6640625" style="1"/>
    <col min="6401" max="6401" width="2.44140625" style="1" customWidth="1"/>
    <col min="6402" max="6402" width="11.33203125" style="1" customWidth="1"/>
    <col min="6403" max="6403" width="61.44140625" style="1" customWidth="1"/>
    <col min="6404" max="6404" width="15.44140625" style="1" bestFit="1" customWidth="1"/>
    <col min="6405" max="6405" width="17" style="1" customWidth="1"/>
    <col min="6406" max="6406" width="17" style="1" bestFit="1" customWidth="1"/>
    <col min="6407" max="6407" width="17.6640625" style="1" bestFit="1" customWidth="1"/>
    <col min="6408" max="6408" width="17.44140625" style="1" bestFit="1" customWidth="1"/>
    <col min="6409" max="6409" width="15" style="1" bestFit="1" customWidth="1"/>
    <col min="6410" max="6410" width="11.6640625" style="1" bestFit="1" customWidth="1"/>
    <col min="6411" max="6415" width="14.44140625" style="1" bestFit="1" customWidth="1"/>
    <col min="6416" max="6419" width="0" style="1" hidden="1" customWidth="1"/>
    <col min="6420" max="6420" width="17" style="1" bestFit="1" customWidth="1"/>
    <col min="6421" max="6424" width="0" style="1" hidden="1" customWidth="1"/>
    <col min="6425" max="6425" width="17" style="1" bestFit="1" customWidth="1"/>
    <col min="6426" max="6426" width="17.6640625" style="1" bestFit="1" customWidth="1"/>
    <col min="6427" max="6656" width="8.6640625" style="1"/>
    <col min="6657" max="6657" width="2.44140625" style="1" customWidth="1"/>
    <col min="6658" max="6658" width="11.33203125" style="1" customWidth="1"/>
    <col min="6659" max="6659" width="61.44140625" style="1" customWidth="1"/>
    <col min="6660" max="6660" width="15.44140625" style="1" bestFit="1" customWidth="1"/>
    <col min="6661" max="6661" width="17" style="1" customWidth="1"/>
    <col min="6662" max="6662" width="17" style="1" bestFit="1" customWidth="1"/>
    <col min="6663" max="6663" width="17.6640625" style="1" bestFit="1" customWidth="1"/>
    <col min="6664" max="6664" width="17.44140625" style="1" bestFit="1" customWidth="1"/>
    <col min="6665" max="6665" width="15" style="1" bestFit="1" customWidth="1"/>
    <col min="6666" max="6666" width="11.6640625" style="1" bestFit="1" customWidth="1"/>
    <col min="6667" max="6671" width="14.44140625" style="1" bestFit="1" customWidth="1"/>
    <col min="6672" max="6675" width="0" style="1" hidden="1" customWidth="1"/>
    <col min="6676" max="6676" width="17" style="1" bestFit="1" customWidth="1"/>
    <col min="6677" max="6680" width="0" style="1" hidden="1" customWidth="1"/>
    <col min="6681" max="6681" width="17" style="1" bestFit="1" customWidth="1"/>
    <col min="6682" max="6682" width="17.6640625" style="1" bestFit="1" customWidth="1"/>
    <col min="6683" max="6912" width="8.6640625" style="1"/>
    <col min="6913" max="6913" width="2.44140625" style="1" customWidth="1"/>
    <col min="6914" max="6914" width="11.33203125" style="1" customWidth="1"/>
    <col min="6915" max="6915" width="61.44140625" style="1" customWidth="1"/>
    <col min="6916" max="6916" width="15.44140625" style="1" bestFit="1" customWidth="1"/>
    <col min="6917" max="6917" width="17" style="1" customWidth="1"/>
    <col min="6918" max="6918" width="17" style="1" bestFit="1" customWidth="1"/>
    <col min="6919" max="6919" width="17.6640625" style="1" bestFit="1" customWidth="1"/>
    <col min="6920" max="6920" width="17.44140625" style="1" bestFit="1" customWidth="1"/>
    <col min="6921" max="6921" width="15" style="1" bestFit="1" customWidth="1"/>
    <col min="6922" max="6922" width="11.6640625" style="1" bestFit="1" customWidth="1"/>
    <col min="6923" max="6927" width="14.44140625" style="1" bestFit="1" customWidth="1"/>
    <col min="6928" max="6931" width="0" style="1" hidden="1" customWidth="1"/>
    <col min="6932" max="6932" width="17" style="1" bestFit="1" customWidth="1"/>
    <col min="6933" max="6936" width="0" style="1" hidden="1" customWidth="1"/>
    <col min="6937" max="6937" width="17" style="1" bestFit="1" customWidth="1"/>
    <col min="6938" max="6938" width="17.6640625" style="1" bestFit="1" customWidth="1"/>
    <col min="6939" max="7168" width="8.6640625" style="1"/>
    <col min="7169" max="7169" width="2.44140625" style="1" customWidth="1"/>
    <col min="7170" max="7170" width="11.33203125" style="1" customWidth="1"/>
    <col min="7171" max="7171" width="61.44140625" style="1" customWidth="1"/>
    <col min="7172" max="7172" width="15.44140625" style="1" bestFit="1" customWidth="1"/>
    <col min="7173" max="7173" width="17" style="1" customWidth="1"/>
    <col min="7174" max="7174" width="17" style="1" bestFit="1" customWidth="1"/>
    <col min="7175" max="7175" width="17.6640625" style="1" bestFit="1" customWidth="1"/>
    <col min="7176" max="7176" width="17.44140625" style="1" bestFit="1" customWidth="1"/>
    <col min="7177" max="7177" width="15" style="1" bestFit="1" customWidth="1"/>
    <col min="7178" max="7178" width="11.6640625" style="1" bestFit="1" customWidth="1"/>
    <col min="7179" max="7183" width="14.44140625" style="1" bestFit="1" customWidth="1"/>
    <col min="7184" max="7187" width="0" style="1" hidden="1" customWidth="1"/>
    <col min="7188" max="7188" width="17" style="1" bestFit="1" customWidth="1"/>
    <col min="7189" max="7192" width="0" style="1" hidden="1" customWidth="1"/>
    <col min="7193" max="7193" width="17" style="1" bestFit="1" customWidth="1"/>
    <col min="7194" max="7194" width="17.6640625" style="1" bestFit="1" customWidth="1"/>
    <col min="7195" max="7424" width="8.6640625" style="1"/>
    <col min="7425" max="7425" width="2.44140625" style="1" customWidth="1"/>
    <col min="7426" max="7426" width="11.33203125" style="1" customWidth="1"/>
    <col min="7427" max="7427" width="61.44140625" style="1" customWidth="1"/>
    <col min="7428" max="7428" width="15.44140625" style="1" bestFit="1" customWidth="1"/>
    <col min="7429" max="7429" width="17" style="1" customWidth="1"/>
    <col min="7430" max="7430" width="17" style="1" bestFit="1" customWidth="1"/>
    <col min="7431" max="7431" width="17.6640625" style="1" bestFit="1" customWidth="1"/>
    <col min="7432" max="7432" width="17.44140625" style="1" bestFit="1" customWidth="1"/>
    <col min="7433" max="7433" width="15" style="1" bestFit="1" customWidth="1"/>
    <col min="7434" max="7434" width="11.6640625" style="1" bestFit="1" customWidth="1"/>
    <col min="7435" max="7439" width="14.44140625" style="1" bestFit="1" customWidth="1"/>
    <col min="7440" max="7443" width="0" style="1" hidden="1" customWidth="1"/>
    <col min="7444" max="7444" width="17" style="1" bestFit="1" customWidth="1"/>
    <col min="7445" max="7448" width="0" style="1" hidden="1" customWidth="1"/>
    <col min="7449" max="7449" width="17" style="1" bestFit="1" customWidth="1"/>
    <col min="7450" max="7450" width="17.6640625" style="1" bestFit="1" customWidth="1"/>
    <col min="7451" max="7680" width="8.6640625" style="1"/>
    <col min="7681" max="7681" width="2.44140625" style="1" customWidth="1"/>
    <col min="7682" max="7682" width="11.33203125" style="1" customWidth="1"/>
    <col min="7683" max="7683" width="61.44140625" style="1" customWidth="1"/>
    <col min="7684" max="7684" width="15.44140625" style="1" bestFit="1" customWidth="1"/>
    <col min="7685" max="7685" width="17" style="1" customWidth="1"/>
    <col min="7686" max="7686" width="17" style="1" bestFit="1" customWidth="1"/>
    <col min="7687" max="7687" width="17.6640625" style="1" bestFit="1" customWidth="1"/>
    <col min="7688" max="7688" width="17.44140625" style="1" bestFit="1" customWidth="1"/>
    <col min="7689" max="7689" width="15" style="1" bestFit="1" customWidth="1"/>
    <col min="7690" max="7690" width="11.6640625" style="1" bestFit="1" customWidth="1"/>
    <col min="7691" max="7695" width="14.44140625" style="1" bestFit="1" customWidth="1"/>
    <col min="7696" max="7699" width="0" style="1" hidden="1" customWidth="1"/>
    <col min="7700" max="7700" width="17" style="1" bestFit="1" customWidth="1"/>
    <col min="7701" max="7704" width="0" style="1" hidden="1" customWidth="1"/>
    <col min="7705" max="7705" width="17" style="1" bestFit="1" customWidth="1"/>
    <col min="7706" max="7706" width="17.6640625" style="1" bestFit="1" customWidth="1"/>
    <col min="7707" max="7936" width="8.6640625" style="1"/>
    <col min="7937" max="7937" width="2.44140625" style="1" customWidth="1"/>
    <col min="7938" max="7938" width="11.33203125" style="1" customWidth="1"/>
    <col min="7939" max="7939" width="61.44140625" style="1" customWidth="1"/>
    <col min="7940" max="7940" width="15.44140625" style="1" bestFit="1" customWidth="1"/>
    <col min="7941" max="7941" width="17" style="1" customWidth="1"/>
    <col min="7942" max="7942" width="17" style="1" bestFit="1" customWidth="1"/>
    <col min="7943" max="7943" width="17.6640625" style="1" bestFit="1" customWidth="1"/>
    <col min="7944" max="7944" width="17.44140625" style="1" bestFit="1" customWidth="1"/>
    <col min="7945" max="7945" width="15" style="1" bestFit="1" customWidth="1"/>
    <col min="7946" max="7946" width="11.6640625" style="1" bestFit="1" customWidth="1"/>
    <col min="7947" max="7951" width="14.44140625" style="1" bestFit="1" customWidth="1"/>
    <col min="7952" max="7955" width="0" style="1" hidden="1" customWidth="1"/>
    <col min="7956" max="7956" width="17" style="1" bestFit="1" customWidth="1"/>
    <col min="7957" max="7960" width="0" style="1" hidden="1" customWidth="1"/>
    <col min="7961" max="7961" width="17" style="1" bestFit="1" customWidth="1"/>
    <col min="7962" max="7962" width="17.6640625" style="1" bestFit="1" customWidth="1"/>
    <col min="7963" max="8192" width="8.6640625" style="1"/>
    <col min="8193" max="8193" width="2.44140625" style="1" customWidth="1"/>
    <col min="8194" max="8194" width="11.33203125" style="1" customWidth="1"/>
    <col min="8195" max="8195" width="61.44140625" style="1" customWidth="1"/>
    <col min="8196" max="8196" width="15.44140625" style="1" bestFit="1" customWidth="1"/>
    <col min="8197" max="8197" width="17" style="1" customWidth="1"/>
    <col min="8198" max="8198" width="17" style="1" bestFit="1" customWidth="1"/>
    <col min="8199" max="8199" width="17.6640625" style="1" bestFit="1" customWidth="1"/>
    <col min="8200" max="8200" width="17.44140625" style="1" bestFit="1" customWidth="1"/>
    <col min="8201" max="8201" width="15" style="1" bestFit="1" customWidth="1"/>
    <col min="8202" max="8202" width="11.6640625" style="1" bestFit="1" customWidth="1"/>
    <col min="8203" max="8207" width="14.44140625" style="1" bestFit="1" customWidth="1"/>
    <col min="8208" max="8211" width="0" style="1" hidden="1" customWidth="1"/>
    <col min="8212" max="8212" width="17" style="1" bestFit="1" customWidth="1"/>
    <col min="8213" max="8216" width="0" style="1" hidden="1" customWidth="1"/>
    <col min="8217" max="8217" width="17" style="1" bestFit="1" customWidth="1"/>
    <col min="8218" max="8218" width="17.6640625" style="1" bestFit="1" customWidth="1"/>
    <col min="8219" max="8448" width="8.6640625" style="1"/>
    <col min="8449" max="8449" width="2.44140625" style="1" customWidth="1"/>
    <col min="8450" max="8450" width="11.33203125" style="1" customWidth="1"/>
    <col min="8451" max="8451" width="61.44140625" style="1" customWidth="1"/>
    <col min="8452" max="8452" width="15.44140625" style="1" bestFit="1" customWidth="1"/>
    <col min="8453" max="8453" width="17" style="1" customWidth="1"/>
    <col min="8454" max="8454" width="17" style="1" bestFit="1" customWidth="1"/>
    <col min="8455" max="8455" width="17.6640625" style="1" bestFit="1" customWidth="1"/>
    <col min="8456" max="8456" width="17.44140625" style="1" bestFit="1" customWidth="1"/>
    <col min="8457" max="8457" width="15" style="1" bestFit="1" customWidth="1"/>
    <col min="8458" max="8458" width="11.6640625" style="1" bestFit="1" customWidth="1"/>
    <col min="8459" max="8463" width="14.44140625" style="1" bestFit="1" customWidth="1"/>
    <col min="8464" max="8467" width="0" style="1" hidden="1" customWidth="1"/>
    <col min="8468" max="8468" width="17" style="1" bestFit="1" customWidth="1"/>
    <col min="8469" max="8472" width="0" style="1" hidden="1" customWidth="1"/>
    <col min="8473" max="8473" width="17" style="1" bestFit="1" customWidth="1"/>
    <col min="8474" max="8474" width="17.6640625" style="1" bestFit="1" customWidth="1"/>
    <col min="8475" max="8704" width="8.6640625" style="1"/>
    <col min="8705" max="8705" width="2.44140625" style="1" customWidth="1"/>
    <col min="8706" max="8706" width="11.33203125" style="1" customWidth="1"/>
    <col min="8707" max="8707" width="61.44140625" style="1" customWidth="1"/>
    <col min="8708" max="8708" width="15.44140625" style="1" bestFit="1" customWidth="1"/>
    <col min="8709" max="8709" width="17" style="1" customWidth="1"/>
    <col min="8710" max="8710" width="17" style="1" bestFit="1" customWidth="1"/>
    <col min="8711" max="8711" width="17.6640625" style="1" bestFit="1" customWidth="1"/>
    <col min="8712" max="8712" width="17.44140625" style="1" bestFit="1" customWidth="1"/>
    <col min="8713" max="8713" width="15" style="1" bestFit="1" customWidth="1"/>
    <col min="8714" max="8714" width="11.6640625" style="1" bestFit="1" customWidth="1"/>
    <col min="8715" max="8719" width="14.44140625" style="1" bestFit="1" customWidth="1"/>
    <col min="8720" max="8723" width="0" style="1" hidden="1" customWidth="1"/>
    <col min="8724" max="8724" width="17" style="1" bestFit="1" customWidth="1"/>
    <col min="8725" max="8728" width="0" style="1" hidden="1" customWidth="1"/>
    <col min="8729" max="8729" width="17" style="1" bestFit="1" customWidth="1"/>
    <col min="8730" max="8730" width="17.6640625" style="1" bestFit="1" customWidth="1"/>
    <col min="8731" max="8960" width="8.6640625" style="1"/>
    <col min="8961" max="8961" width="2.44140625" style="1" customWidth="1"/>
    <col min="8962" max="8962" width="11.33203125" style="1" customWidth="1"/>
    <col min="8963" max="8963" width="61.44140625" style="1" customWidth="1"/>
    <col min="8964" max="8964" width="15.44140625" style="1" bestFit="1" customWidth="1"/>
    <col min="8965" max="8965" width="17" style="1" customWidth="1"/>
    <col min="8966" max="8966" width="17" style="1" bestFit="1" customWidth="1"/>
    <col min="8967" max="8967" width="17.6640625" style="1" bestFit="1" customWidth="1"/>
    <col min="8968" max="8968" width="17.44140625" style="1" bestFit="1" customWidth="1"/>
    <col min="8969" max="8969" width="15" style="1" bestFit="1" customWidth="1"/>
    <col min="8970" max="8970" width="11.6640625" style="1" bestFit="1" customWidth="1"/>
    <col min="8971" max="8975" width="14.44140625" style="1" bestFit="1" customWidth="1"/>
    <col min="8976" max="8979" width="0" style="1" hidden="1" customWidth="1"/>
    <col min="8980" max="8980" width="17" style="1" bestFit="1" customWidth="1"/>
    <col min="8981" max="8984" width="0" style="1" hidden="1" customWidth="1"/>
    <col min="8985" max="8985" width="17" style="1" bestFit="1" customWidth="1"/>
    <col min="8986" max="8986" width="17.6640625" style="1" bestFit="1" customWidth="1"/>
    <col min="8987" max="9216" width="8.6640625" style="1"/>
    <col min="9217" max="9217" width="2.44140625" style="1" customWidth="1"/>
    <col min="9218" max="9218" width="11.33203125" style="1" customWidth="1"/>
    <col min="9219" max="9219" width="61.44140625" style="1" customWidth="1"/>
    <col min="9220" max="9220" width="15.44140625" style="1" bestFit="1" customWidth="1"/>
    <col min="9221" max="9221" width="17" style="1" customWidth="1"/>
    <col min="9222" max="9222" width="17" style="1" bestFit="1" customWidth="1"/>
    <col min="9223" max="9223" width="17.6640625" style="1" bestFit="1" customWidth="1"/>
    <col min="9224" max="9224" width="17.44140625" style="1" bestFit="1" customWidth="1"/>
    <col min="9225" max="9225" width="15" style="1" bestFit="1" customWidth="1"/>
    <col min="9226" max="9226" width="11.6640625" style="1" bestFit="1" customWidth="1"/>
    <col min="9227" max="9231" width="14.44140625" style="1" bestFit="1" customWidth="1"/>
    <col min="9232" max="9235" width="0" style="1" hidden="1" customWidth="1"/>
    <col min="9236" max="9236" width="17" style="1" bestFit="1" customWidth="1"/>
    <col min="9237" max="9240" width="0" style="1" hidden="1" customWidth="1"/>
    <col min="9241" max="9241" width="17" style="1" bestFit="1" customWidth="1"/>
    <col min="9242" max="9242" width="17.6640625" style="1" bestFit="1" customWidth="1"/>
    <col min="9243" max="9472" width="8.6640625" style="1"/>
    <col min="9473" max="9473" width="2.44140625" style="1" customWidth="1"/>
    <col min="9474" max="9474" width="11.33203125" style="1" customWidth="1"/>
    <col min="9475" max="9475" width="61.44140625" style="1" customWidth="1"/>
    <col min="9476" max="9476" width="15.44140625" style="1" bestFit="1" customWidth="1"/>
    <col min="9477" max="9477" width="17" style="1" customWidth="1"/>
    <col min="9478" max="9478" width="17" style="1" bestFit="1" customWidth="1"/>
    <col min="9479" max="9479" width="17.6640625" style="1" bestFit="1" customWidth="1"/>
    <col min="9480" max="9480" width="17.44140625" style="1" bestFit="1" customWidth="1"/>
    <col min="9481" max="9481" width="15" style="1" bestFit="1" customWidth="1"/>
    <col min="9482" max="9482" width="11.6640625" style="1" bestFit="1" customWidth="1"/>
    <col min="9483" max="9487" width="14.44140625" style="1" bestFit="1" customWidth="1"/>
    <col min="9488" max="9491" width="0" style="1" hidden="1" customWidth="1"/>
    <col min="9492" max="9492" width="17" style="1" bestFit="1" customWidth="1"/>
    <col min="9493" max="9496" width="0" style="1" hidden="1" customWidth="1"/>
    <col min="9497" max="9497" width="17" style="1" bestFit="1" customWidth="1"/>
    <col min="9498" max="9498" width="17.6640625" style="1" bestFit="1" customWidth="1"/>
    <col min="9499" max="9728" width="8.6640625" style="1"/>
    <col min="9729" max="9729" width="2.44140625" style="1" customWidth="1"/>
    <col min="9730" max="9730" width="11.33203125" style="1" customWidth="1"/>
    <col min="9731" max="9731" width="61.44140625" style="1" customWidth="1"/>
    <col min="9732" max="9732" width="15.44140625" style="1" bestFit="1" customWidth="1"/>
    <col min="9733" max="9733" width="17" style="1" customWidth="1"/>
    <col min="9734" max="9734" width="17" style="1" bestFit="1" customWidth="1"/>
    <col min="9735" max="9735" width="17.6640625" style="1" bestFit="1" customWidth="1"/>
    <col min="9736" max="9736" width="17.44140625" style="1" bestFit="1" customWidth="1"/>
    <col min="9737" max="9737" width="15" style="1" bestFit="1" customWidth="1"/>
    <col min="9738" max="9738" width="11.6640625" style="1" bestFit="1" customWidth="1"/>
    <col min="9739" max="9743" width="14.44140625" style="1" bestFit="1" customWidth="1"/>
    <col min="9744" max="9747" width="0" style="1" hidden="1" customWidth="1"/>
    <col min="9748" max="9748" width="17" style="1" bestFit="1" customWidth="1"/>
    <col min="9749" max="9752" width="0" style="1" hidden="1" customWidth="1"/>
    <col min="9753" max="9753" width="17" style="1" bestFit="1" customWidth="1"/>
    <col min="9754" max="9754" width="17.6640625" style="1" bestFit="1" customWidth="1"/>
    <col min="9755" max="9984" width="8.6640625" style="1"/>
    <col min="9985" max="9985" width="2.44140625" style="1" customWidth="1"/>
    <col min="9986" max="9986" width="11.33203125" style="1" customWidth="1"/>
    <col min="9987" max="9987" width="61.44140625" style="1" customWidth="1"/>
    <col min="9988" max="9988" width="15.44140625" style="1" bestFit="1" customWidth="1"/>
    <col min="9989" max="9989" width="17" style="1" customWidth="1"/>
    <col min="9990" max="9990" width="17" style="1" bestFit="1" customWidth="1"/>
    <col min="9991" max="9991" width="17.6640625" style="1" bestFit="1" customWidth="1"/>
    <col min="9992" max="9992" width="17.44140625" style="1" bestFit="1" customWidth="1"/>
    <col min="9993" max="9993" width="15" style="1" bestFit="1" customWidth="1"/>
    <col min="9994" max="9994" width="11.6640625" style="1" bestFit="1" customWidth="1"/>
    <col min="9995" max="9999" width="14.44140625" style="1" bestFit="1" customWidth="1"/>
    <col min="10000" max="10003" width="0" style="1" hidden="1" customWidth="1"/>
    <col min="10004" max="10004" width="17" style="1" bestFit="1" customWidth="1"/>
    <col min="10005" max="10008" width="0" style="1" hidden="1" customWidth="1"/>
    <col min="10009" max="10009" width="17" style="1" bestFit="1" customWidth="1"/>
    <col min="10010" max="10010" width="17.6640625" style="1" bestFit="1" customWidth="1"/>
    <col min="10011" max="10240" width="8.6640625" style="1"/>
    <col min="10241" max="10241" width="2.44140625" style="1" customWidth="1"/>
    <col min="10242" max="10242" width="11.33203125" style="1" customWidth="1"/>
    <col min="10243" max="10243" width="61.44140625" style="1" customWidth="1"/>
    <col min="10244" max="10244" width="15.44140625" style="1" bestFit="1" customWidth="1"/>
    <col min="10245" max="10245" width="17" style="1" customWidth="1"/>
    <col min="10246" max="10246" width="17" style="1" bestFit="1" customWidth="1"/>
    <col min="10247" max="10247" width="17.6640625" style="1" bestFit="1" customWidth="1"/>
    <col min="10248" max="10248" width="17.44140625" style="1" bestFit="1" customWidth="1"/>
    <col min="10249" max="10249" width="15" style="1" bestFit="1" customWidth="1"/>
    <col min="10250" max="10250" width="11.6640625" style="1" bestFit="1" customWidth="1"/>
    <col min="10251" max="10255" width="14.44140625" style="1" bestFit="1" customWidth="1"/>
    <col min="10256" max="10259" width="0" style="1" hidden="1" customWidth="1"/>
    <col min="10260" max="10260" width="17" style="1" bestFit="1" customWidth="1"/>
    <col min="10261" max="10264" width="0" style="1" hidden="1" customWidth="1"/>
    <col min="10265" max="10265" width="17" style="1" bestFit="1" customWidth="1"/>
    <col min="10266" max="10266" width="17.6640625" style="1" bestFit="1" customWidth="1"/>
    <col min="10267" max="10496" width="8.6640625" style="1"/>
    <col min="10497" max="10497" width="2.44140625" style="1" customWidth="1"/>
    <col min="10498" max="10498" width="11.33203125" style="1" customWidth="1"/>
    <col min="10499" max="10499" width="61.44140625" style="1" customWidth="1"/>
    <col min="10500" max="10500" width="15.44140625" style="1" bestFit="1" customWidth="1"/>
    <col min="10501" max="10501" width="17" style="1" customWidth="1"/>
    <col min="10502" max="10502" width="17" style="1" bestFit="1" customWidth="1"/>
    <col min="10503" max="10503" width="17.6640625" style="1" bestFit="1" customWidth="1"/>
    <col min="10504" max="10504" width="17.44140625" style="1" bestFit="1" customWidth="1"/>
    <col min="10505" max="10505" width="15" style="1" bestFit="1" customWidth="1"/>
    <col min="10506" max="10506" width="11.6640625" style="1" bestFit="1" customWidth="1"/>
    <col min="10507" max="10511" width="14.44140625" style="1" bestFit="1" customWidth="1"/>
    <col min="10512" max="10515" width="0" style="1" hidden="1" customWidth="1"/>
    <col min="10516" max="10516" width="17" style="1" bestFit="1" customWidth="1"/>
    <col min="10517" max="10520" width="0" style="1" hidden="1" customWidth="1"/>
    <col min="10521" max="10521" width="17" style="1" bestFit="1" customWidth="1"/>
    <col min="10522" max="10522" width="17.6640625" style="1" bestFit="1" customWidth="1"/>
    <col min="10523" max="10752" width="8.6640625" style="1"/>
    <col min="10753" max="10753" width="2.44140625" style="1" customWidth="1"/>
    <col min="10754" max="10754" width="11.33203125" style="1" customWidth="1"/>
    <col min="10755" max="10755" width="61.44140625" style="1" customWidth="1"/>
    <col min="10756" max="10756" width="15.44140625" style="1" bestFit="1" customWidth="1"/>
    <col min="10757" max="10757" width="17" style="1" customWidth="1"/>
    <col min="10758" max="10758" width="17" style="1" bestFit="1" customWidth="1"/>
    <col min="10759" max="10759" width="17.6640625" style="1" bestFit="1" customWidth="1"/>
    <col min="10760" max="10760" width="17.44140625" style="1" bestFit="1" customWidth="1"/>
    <col min="10761" max="10761" width="15" style="1" bestFit="1" customWidth="1"/>
    <col min="10762" max="10762" width="11.6640625" style="1" bestFit="1" customWidth="1"/>
    <col min="10763" max="10767" width="14.44140625" style="1" bestFit="1" customWidth="1"/>
    <col min="10768" max="10771" width="0" style="1" hidden="1" customWidth="1"/>
    <col min="10772" max="10772" width="17" style="1" bestFit="1" customWidth="1"/>
    <col min="10773" max="10776" width="0" style="1" hidden="1" customWidth="1"/>
    <col min="10777" max="10777" width="17" style="1" bestFit="1" customWidth="1"/>
    <col min="10778" max="10778" width="17.6640625" style="1" bestFit="1" customWidth="1"/>
    <col min="10779" max="11008" width="8.6640625" style="1"/>
    <col min="11009" max="11009" width="2.44140625" style="1" customWidth="1"/>
    <col min="11010" max="11010" width="11.33203125" style="1" customWidth="1"/>
    <col min="11011" max="11011" width="61.44140625" style="1" customWidth="1"/>
    <col min="11012" max="11012" width="15.44140625" style="1" bestFit="1" customWidth="1"/>
    <col min="11013" max="11013" width="17" style="1" customWidth="1"/>
    <col min="11014" max="11014" width="17" style="1" bestFit="1" customWidth="1"/>
    <col min="11015" max="11015" width="17.6640625" style="1" bestFit="1" customWidth="1"/>
    <col min="11016" max="11016" width="17.44140625" style="1" bestFit="1" customWidth="1"/>
    <col min="11017" max="11017" width="15" style="1" bestFit="1" customWidth="1"/>
    <col min="11018" max="11018" width="11.6640625" style="1" bestFit="1" customWidth="1"/>
    <col min="11019" max="11023" width="14.44140625" style="1" bestFit="1" customWidth="1"/>
    <col min="11024" max="11027" width="0" style="1" hidden="1" customWidth="1"/>
    <col min="11028" max="11028" width="17" style="1" bestFit="1" customWidth="1"/>
    <col min="11029" max="11032" width="0" style="1" hidden="1" customWidth="1"/>
    <col min="11033" max="11033" width="17" style="1" bestFit="1" customWidth="1"/>
    <col min="11034" max="11034" width="17.6640625" style="1" bestFit="1" customWidth="1"/>
    <col min="11035" max="11264" width="8.6640625" style="1"/>
    <col min="11265" max="11265" width="2.44140625" style="1" customWidth="1"/>
    <col min="11266" max="11266" width="11.33203125" style="1" customWidth="1"/>
    <col min="11267" max="11267" width="61.44140625" style="1" customWidth="1"/>
    <col min="11268" max="11268" width="15.44140625" style="1" bestFit="1" customWidth="1"/>
    <col min="11269" max="11269" width="17" style="1" customWidth="1"/>
    <col min="11270" max="11270" width="17" style="1" bestFit="1" customWidth="1"/>
    <col min="11271" max="11271" width="17.6640625" style="1" bestFit="1" customWidth="1"/>
    <col min="11272" max="11272" width="17.44140625" style="1" bestFit="1" customWidth="1"/>
    <col min="11273" max="11273" width="15" style="1" bestFit="1" customWidth="1"/>
    <col min="11274" max="11274" width="11.6640625" style="1" bestFit="1" customWidth="1"/>
    <col min="11275" max="11279" width="14.44140625" style="1" bestFit="1" customWidth="1"/>
    <col min="11280" max="11283" width="0" style="1" hidden="1" customWidth="1"/>
    <col min="11284" max="11284" width="17" style="1" bestFit="1" customWidth="1"/>
    <col min="11285" max="11288" width="0" style="1" hidden="1" customWidth="1"/>
    <col min="11289" max="11289" width="17" style="1" bestFit="1" customWidth="1"/>
    <col min="11290" max="11290" width="17.6640625" style="1" bestFit="1" customWidth="1"/>
    <col min="11291" max="11520" width="8.6640625" style="1"/>
    <col min="11521" max="11521" width="2.44140625" style="1" customWidth="1"/>
    <col min="11522" max="11522" width="11.33203125" style="1" customWidth="1"/>
    <col min="11523" max="11523" width="61.44140625" style="1" customWidth="1"/>
    <col min="11524" max="11524" width="15.44140625" style="1" bestFit="1" customWidth="1"/>
    <col min="11525" max="11525" width="17" style="1" customWidth="1"/>
    <col min="11526" max="11526" width="17" style="1" bestFit="1" customWidth="1"/>
    <col min="11527" max="11527" width="17.6640625" style="1" bestFit="1" customWidth="1"/>
    <col min="11528" max="11528" width="17.44140625" style="1" bestFit="1" customWidth="1"/>
    <col min="11529" max="11529" width="15" style="1" bestFit="1" customWidth="1"/>
    <col min="11530" max="11530" width="11.6640625" style="1" bestFit="1" customWidth="1"/>
    <col min="11531" max="11535" width="14.44140625" style="1" bestFit="1" customWidth="1"/>
    <col min="11536" max="11539" width="0" style="1" hidden="1" customWidth="1"/>
    <col min="11540" max="11540" width="17" style="1" bestFit="1" customWidth="1"/>
    <col min="11541" max="11544" width="0" style="1" hidden="1" customWidth="1"/>
    <col min="11545" max="11545" width="17" style="1" bestFit="1" customWidth="1"/>
    <col min="11546" max="11546" width="17.6640625" style="1" bestFit="1" customWidth="1"/>
    <col min="11547" max="11776" width="8.6640625" style="1"/>
    <col min="11777" max="11777" width="2.44140625" style="1" customWidth="1"/>
    <col min="11778" max="11778" width="11.33203125" style="1" customWidth="1"/>
    <col min="11779" max="11779" width="61.44140625" style="1" customWidth="1"/>
    <col min="11780" max="11780" width="15.44140625" style="1" bestFit="1" customWidth="1"/>
    <col min="11781" max="11781" width="17" style="1" customWidth="1"/>
    <col min="11782" max="11782" width="17" style="1" bestFit="1" customWidth="1"/>
    <col min="11783" max="11783" width="17.6640625" style="1" bestFit="1" customWidth="1"/>
    <col min="11784" max="11784" width="17.44140625" style="1" bestFit="1" customWidth="1"/>
    <col min="11785" max="11785" width="15" style="1" bestFit="1" customWidth="1"/>
    <col min="11786" max="11786" width="11.6640625" style="1" bestFit="1" customWidth="1"/>
    <col min="11787" max="11791" width="14.44140625" style="1" bestFit="1" customWidth="1"/>
    <col min="11792" max="11795" width="0" style="1" hidden="1" customWidth="1"/>
    <col min="11796" max="11796" width="17" style="1" bestFit="1" customWidth="1"/>
    <col min="11797" max="11800" width="0" style="1" hidden="1" customWidth="1"/>
    <col min="11801" max="11801" width="17" style="1" bestFit="1" customWidth="1"/>
    <col min="11802" max="11802" width="17.6640625" style="1" bestFit="1" customWidth="1"/>
    <col min="11803" max="12032" width="8.6640625" style="1"/>
    <col min="12033" max="12033" width="2.44140625" style="1" customWidth="1"/>
    <col min="12034" max="12034" width="11.33203125" style="1" customWidth="1"/>
    <col min="12035" max="12035" width="61.44140625" style="1" customWidth="1"/>
    <col min="12036" max="12036" width="15.44140625" style="1" bestFit="1" customWidth="1"/>
    <col min="12037" max="12037" width="17" style="1" customWidth="1"/>
    <col min="12038" max="12038" width="17" style="1" bestFit="1" customWidth="1"/>
    <col min="12039" max="12039" width="17.6640625" style="1" bestFit="1" customWidth="1"/>
    <col min="12040" max="12040" width="17.44140625" style="1" bestFit="1" customWidth="1"/>
    <col min="12041" max="12041" width="15" style="1" bestFit="1" customWidth="1"/>
    <col min="12042" max="12042" width="11.6640625" style="1" bestFit="1" customWidth="1"/>
    <col min="12043" max="12047" width="14.44140625" style="1" bestFit="1" customWidth="1"/>
    <col min="12048" max="12051" width="0" style="1" hidden="1" customWidth="1"/>
    <col min="12052" max="12052" width="17" style="1" bestFit="1" customWidth="1"/>
    <col min="12053" max="12056" width="0" style="1" hidden="1" customWidth="1"/>
    <col min="12057" max="12057" width="17" style="1" bestFit="1" customWidth="1"/>
    <col min="12058" max="12058" width="17.6640625" style="1" bestFit="1" customWidth="1"/>
    <col min="12059" max="12288" width="8.6640625" style="1"/>
    <col min="12289" max="12289" width="2.44140625" style="1" customWidth="1"/>
    <col min="12290" max="12290" width="11.33203125" style="1" customWidth="1"/>
    <col min="12291" max="12291" width="61.44140625" style="1" customWidth="1"/>
    <col min="12292" max="12292" width="15.44140625" style="1" bestFit="1" customWidth="1"/>
    <col min="12293" max="12293" width="17" style="1" customWidth="1"/>
    <col min="12294" max="12294" width="17" style="1" bestFit="1" customWidth="1"/>
    <col min="12295" max="12295" width="17.6640625" style="1" bestFit="1" customWidth="1"/>
    <col min="12296" max="12296" width="17.44140625" style="1" bestFit="1" customWidth="1"/>
    <col min="12297" max="12297" width="15" style="1" bestFit="1" customWidth="1"/>
    <col min="12298" max="12298" width="11.6640625" style="1" bestFit="1" customWidth="1"/>
    <col min="12299" max="12303" width="14.44140625" style="1" bestFit="1" customWidth="1"/>
    <col min="12304" max="12307" width="0" style="1" hidden="1" customWidth="1"/>
    <col min="12308" max="12308" width="17" style="1" bestFit="1" customWidth="1"/>
    <col min="12309" max="12312" width="0" style="1" hidden="1" customWidth="1"/>
    <col min="12313" max="12313" width="17" style="1" bestFit="1" customWidth="1"/>
    <col min="12314" max="12314" width="17.6640625" style="1" bestFit="1" customWidth="1"/>
    <col min="12315" max="12544" width="8.6640625" style="1"/>
    <col min="12545" max="12545" width="2.44140625" style="1" customWidth="1"/>
    <col min="12546" max="12546" width="11.33203125" style="1" customWidth="1"/>
    <col min="12547" max="12547" width="61.44140625" style="1" customWidth="1"/>
    <col min="12548" max="12548" width="15.44140625" style="1" bestFit="1" customWidth="1"/>
    <col min="12549" max="12549" width="17" style="1" customWidth="1"/>
    <col min="12550" max="12550" width="17" style="1" bestFit="1" customWidth="1"/>
    <col min="12551" max="12551" width="17.6640625" style="1" bestFit="1" customWidth="1"/>
    <col min="12552" max="12552" width="17.44140625" style="1" bestFit="1" customWidth="1"/>
    <col min="12553" max="12553" width="15" style="1" bestFit="1" customWidth="1"/>
    <col min="12554" max="12554" width="11.6640625" style="1" bestFit="1" customWidth="1"/>
    <col min="12555" max="12559" width="14.44140625" style="1" bestFit="1" customWidth="1"/>
    <col min="12560" max="12563" width="0" style="1" hidden="1" customWidth="1"/>
    <col min="12564" max="12564" width="17" style="1" bestFit="1" customWidth="1"/>
    <col min="12565" max="12568" width="0" style="1" hidden="1" customWidth="1"/>
    <col min="12569" max="12569" width="17" style="1" bestFit="1" customWidth="1"/>
    <col min="12570" max="12570" width="17.6640625" style="1" bestFit="1" customWidth="1"/>
    <col min="12571" max="12800" width="8.6640625" style="1"/>
    <col min="12801" max="12801" width="2.44140625" style="1" customWidth="1"/>
    <col min="12802" max="12802" width="11.33203125" style="1" customWidth="1"/>
    <col min="12803" max="12803" width="61.44140625" style="1" customWidth="1"/>
    <col min="12804" max="12804" width="15.44140625" style="1" bestFit="1" customWidth="1"/>
    <col min="12805" max="12805" width="17" style="1" customWidth="1"/>
    <col min="12806" max="12806" width="17" style="1" bestFit="1" customWidth="1"/>
    <col min="12807" max="12807" width="17.6640625" style="1" bestFit="1" customWidth="1"/>
    <col min="12808" max="12808" width="17.44140625" style="1" bestFit="1" customWidth="1"/>
    <col min="12809" max="12809" width="15" style="1" bestFit="1" customWidth="1"/>
    <col min="12810" max="12810" width="11.6640625" style="1" bestFit="1" customWidth="1"/>
    <col min="12811" max="12815" width="14.44140625" style="1" bestFit="1" customWidth="1"/>
    <col min="12816" max="12819" width="0" style="1" hidden="1" customWidth="1"/>
    <col min="12820" max="12820" width="17" style="1" bestFit="1" customWidth="1"/>
    <col min="12821" max="12824" width="0" style="1" hidden="1" customWidth="1"/>
    <col min="12825" max="12825" width="17" style="1" bestFit="1" customWidth="1"/>
    <col min="12826" max="12826" width="17.6640625" style="1" bestFit="1" customWidth="1"/>
    <col min="12827" max="13056" width="8.6640625" style="1"/>
    <col min="13057" max="13057" width="2.44140625" style="1" customWidth="1"/>
    <col min="13058" max="13058" width="11.33203125" style="1" customWidth="1"/>
    <col min="13059" max="13059" width="61.44140625" style="1" customWidth="1"/>
    <col min="13060" max="13060" width="15.44140625" style="1" bestFit="1" customWidth="1"/>
    <col min="13061" max="13061" width="17" style="1" customWidth="1"/>
    <col min="13062" max="13062" width="17" style="1" bestFit="1" customWidth="1"/>
    <col min="13063" max="13063" width="17.6640625" style="1" bestFit="1" customWidth="1"/>
    <col min="13064" max="13064" width="17.44140625" style="1" bestFit="1" customWidth="1"/>
    <col min="13065" max="13065" width="15" style="1" bestFit="1" customWidth="1"/>
    <col min="13066" max="13066" width="11.6640625" style="1" bestFit="1" customWidth="1"/>
    <col min="13067" max="13071" width="14.44140625" style="1" bestFit="1" customWidth="1"/>
    <col min="13072" max="13075" width="0" style="1" hidden="1" customWidth="1"/>
    <col min="13076" max="13076" width="17" style="1" bestFit="1" customWidth="1"/>
    <col min="13077" max="13080" width="0" style="1" hidden="1" customWidth="1"/>
    <col min="13081" max="13081" width="17" style="1" bestFit="1" customWidth="1"/>
    <col min="13082" max="13082" width="17.6640625" style="1" bestFit="1" customWidth="1"/>
    <col min="13083" max="13312" width="8.6640625" style="1"/>
    <col min="13313" max="13313" width="2.44140625" style="1" customWidth="1"/>
    <col min="13314" max="13314" width="11.33203125" style="1" customWidth="1"/>
    <col min="13315" max="13315" width="61.44140625" style="1" customWidth="1"/>
    <col min="13316" max="13316" width="15.44140625" style="1" bestFit="1" customWidth="1"/>
    <col min="13317" max="13317" width="17" style="1" customWidth="1"/>
    <col min="13318" max="13318" width="17" style="1" bestFit="1" customWidth="1"/>
    <col min="13319" max="13319" width="17.6640625" style="1" bestFit="1" customWidth="1"/>
    <col min="13320" max="13320" width="17.44140625" style="1" bestFit="1" customWidth="1"/>
    <col min="13321" max="13321" width="15" style="1" bestFit="1" customWidth="1"/>
    <col min="13322" max="13322" width="11.6640625" style="1" bestFit="1" customWidth="1"/>
    <col min="13323" max="13327" width="14.44140625" style="1" bestFit="1" customWidth="1"/>
    <col min="13328" max="13331" width="0" style="1" hidden="1" customWidth="1"/>
    <col min="13332" max="13332" width="17" style="1" bestFit="1" customWidth="1"/>
    <col min="13333" max="13336" width="0" style="1" hidden="1" customWidth="1"/>
    <col min="13337" max="13337" width="17" style="1" bestFit="1" customWidth="1"/>
    <col min="13338" max="13338" width="17.6640625" style="1" bestFit="1" customWidth="1"/>
    <col min="13339" max="13568" width="8.6640625" style="1"/>
    <col min="13569" max="13569" width="2.44140625" style="1" customWidth="1"/>
    <col min="13570" max="13570" width="11.33203125" style="1" customWidth="1"/>
    <col min="13571" max="13571" width="61.44140625" style="1" customWidth="1"/>
    <col min="13572" max="13572" width="15.44140625" style="1" bestFit="1" customWidth="1"/>
    <col min="13573" max="13573" width="17" style="1" customWidth="1"/>
    <col min="13574" max="13574" width="17" style="1" bestFit="1" customWidth="1"/>
    <col min="13575" max="13575" width="17.6640625" style="1" bestFit="1" customWidth="1"/>
    <col min="13576" max="13576" width="17.44140625" style="1" bestFit="1" customWidth="1"/>
    <col min="13577" max="13577" width="15" style="1" bestFit="1" customWidth="1"/>
    <col min="13578" max="13578" width="11.6640625" style="1" bestFit="1" customWidth="1"/>
    <col min="13579" max="13583" width="14.44140625" style="1" bestFit="1" customWidth="1"/>
    <col min="13584" max="13587" width="0" style="1" hidden="1" customWidth="1"/>
    <col min="13588" max="13588" width="17" style="1" bestFit="1" customWidth="1"/>
    <col min="13589" max="13592" width="0" style="1" hidden="1" customWidth="1"/>
    <col min="13593" max="13593" width="17" style="1" bestFit="1" customWidth="1"/>
    <col min="13594" max="13594" width="17.6640625" style="1" bestFit="1" customWidth="1"/>
    <col min="13595" max="13824" width="8.6640625" style="1"/>
    <col min="13825" max="13825" width="2.44140625" style="1" customWidth="1"/>
    <col min="13826" max="13826" width="11.33203125" style="1" customWidth="1"/>
    <col min="13827" max="13827" width="61.44140625" style="1" customWidth="1"/>
    <col min="13828" max="13828" width="15.44140625" style="1" bestFit="1" customWidth="1"/>
    <col min="13829" max="13829" width="17" style="1" customWidth="1"/>
    <col min="13830" max="13830" width="17" style="1" bestFit="1" customWidth="1"/>
    <col min="13831" max="13831" width="17.6640625" style="1" bestFit="1" customWidth="1"/>
    <col min="13832" max="13832" width="17.44140625" style="1" bestFit="1" customWidth="1"/>
    <col min="13833" max="13833" width="15" style="1" bestFit="1" customWidth="1"/>
    <col min="13834" max="13834" width="11.6640625" style="1" bestFit="1" customWidth="1"/>
    <col min="13835" max="13839" width="14.44140625" style="1" bestFit="1" customWidth="1"/>
    <col min="13840" max="13843" width="0" style="1" hidden="1" customWidth="1"/>
    <col min="13844" max="13844" width="17" style="1" bestFit="1" customWidth="1"/>
    <col min="13845" max="13848" width="0" style="1" hidden="1" customWidth="1"/>
    <col min="13849" max="13849" width="17" style="1" bestFit="1" customWidth="1"/>
    <col min="13850" max="13850" width="17.6640625" style="1" bestFit="1" customWidth="1"/>
    <col min="13851" max="14080" width="8.6640625" style="1"/>
    <col min="14081" max="14081" width="2.44140625" style="1" customWidth="1"/>
    <col min="14082" max="14082" width="11.33203125" style="1" customWidth="1"/>
    <col min="14083" max="14083" width="61.44140625" style="1" customWidth="1"/>
    <col min="14084" max="14084" width="15.44140625" style="1" bestFit="1" customWidth="1"/>
    <col min="14085" max="14085" width="17" style="1" customWidth="1"/>
    <col min="14086" max="14086" width="17" style="1" bestFit="1" customWidth="1"/>
    <col min="14087" max="14087" width="17.6640625" style="1" bestFit="1" customWidth="1"/>
    <col min="14088" max="14088" width="17.44140625" style="1" bestFit="1" customWidth="1"/>
    <col min="14089" max="14089" width="15" style="1" bestFit="1" customWidth="1"/>
    <col min="14090" max="14090" width="11.6640625" style="1" bestFit="1" customWidth="1"/>
    <col min="14091" max="14095" width="14.44140625" style="1" bestFit="1" customWidth="1"/>
    <col min="14096" max="14099" width="0" style="1" hidden="1" customWidth="1"/>
    <col min="14100" max="14100" width="17" style="1" bestFit="1" customWidth="1"/>
    <col min="14101" max="14104" width="0" style="1" hidden="1" customWidth="1"/>
    <col min="14105" max="14105" width="17" style="1" bestFit="1" customWidth="1"/>
    <col min="14106" max="14106" width="17.6640625" style="1" bestFit="1" customWidth="1"/>
    <col min="14107" max="14336" width="8.6640625" style="1"/>
    <col min="14337" max="14337" width="2.44140625" style="1" customWidth="1"/>
    <col min="14338" max="14338" width="11.33203125" style="1" customWidth="1"/>
    <col min="14339" max="14339" width="61.44140625" style="1" customWidth="1"/>
    <col min="14340" max="14340" width="15.44140625" style="1" bestFit="1" customWidth="1"/>
    <col min="14341" max="14341" width="17" style="1" customWidth="1"/>
    <col min="14342" max="14342" width="17" style="1" bestFit="1" customWidth="1"/>
    <col min="14343" max="14343" width="17.6640625" style="1" bestFit="1" customWidth="1"/>
    <col min="14344" max="14344" width="17.44140625" style="1" bestFit="1" customWidth="1"/>
    <col min="14345" max="14345" width="15" style="1" bestFit="1" customWidth="1"/>
    <col min="14346" max="14346" width="11.6640625" style="1" bestFit="1" customWidth="1"/>
    <col min="14347" max="14351" width="14.44140625" style="1" bestFit="1" customWidth="1"/>
    <col min="14352" max="14355" width="0" style="1" hidden="1" customWidth="1"/>
    <col min="14356" max="14356" width="17" style="1" bestFit="1" customWidth="1"/>
    <col min="14357" max="14360" width="0" style="1" hidden="1" customWidth="1"/>
    <col min="14361" max="14361" width="17" style="1" bestFit="1" customWidth="1"/>
    <col min="14362" max="14362" width="17.6640625" style="1" bestFit="1" customWidth="1"/>
    <col min="14363" max="14592" width="8.6640625" style="1"/>
    <col min="14593" max="14593" width="2.44140625" style="1" customWidth="1"/>
    <col min="14594" max="14594" width="11.33203125" style="1" customWidth="1"/>
    <col min="14595" max="14595" width="61.44140625" style="1" customWidth="1"/>
    <col min="14596" max="14596" width="15.44140625" style="1" bestFit="1" customWidth="1"/>
    <col min="14597" max="14597" width="17" style="1" customWidth="1"/>
    <col min="14598" max="14598" width="17" style="1" bestFit="1" customWidth="1"/>
    <col min="14599" max="14599" width="17.6640625" style="1" bestFit="1" customWidth="1"/>
    <col min="14600" max="14600" width="17.44140625" style="1" bestFit="1" customWidth="1"/>
    <col min="14601" max="14601" width="15" style="1" bestFit="1" customWidth="1"/>
    <col min="14602" max="14602" width="11.6640625" style="1" bestFit="1" customWidth="1"/>
    <col min="14603" max="14607" width="14.44140625" style="1" bestFit="1" customWidth="1"/>
    <col min="14608" max="14611" width="0" style="1" hidden="1" customWidth="1"/>
    <col min="14612" max="14612" width="17" style="1" bestFit="1" customWidth="1"/>
    <col min="14613" max="14616" width="0" style="1" hidden="1" customWidth="1"/>
    <col min="14617" max="14617" width="17" style="1" bestFit="1" customWidth="1"/>
    <col min="14618" max="14618" width="17.6640625" style="1" bestFit="1" customWidth="1"/>
    <col min="14619" max="14848" width="8.6640625" style="1"/>
    <col min="14849" max="14849" width="2.44140625" style="1" customWidth="1"/>
    <col min="14850" max="14850" width="11.33203125" style="1" customWidth="1"/>
    <col min="14851" max="14851" width="61.44140625" style="1" customWidth="1"/>
    <col min="14852" max="14852" width="15.44140625" style="1" bestFit="1" customWidth="1"/>
    <col min="14853" max="14853" width="17" style="1" customWidth="1"/>
    <col min="14854" max="14854" width="17" style="1" bestFit="1" customWidth="1"/>
    <col min="14855" max="14855" width="17.6640625" style="1" bestFit="1" customWidth="1"/>
    <col min="14856" max="14856" width="17.44140625" style="1" bestFit="1" customWidth="1"/>
    <col min="14857" max="14857" width="15" style="1" bestFit="1" customWidth="1"/>
    <col min="14858" max="14858" width="11.6640625" style="1" bestFit="1" customWidth="1"/>
    <col min="14859" max="14863" width="14.44140625" style="1" bestFit="1" customWidth="1"/>
    <col min="14864" max="14867" width="0" style="1" hidden="1" customWidth="1"/>
    <col min="14868" max="14868" width="17" style="1" bestFit="1" customWidth="1"/>
    <col min="14869" max="14872" width="0" style="1" hidden="1" customWidth="1"/>
    <col min="14873" max="14873" width="17" style="1" bestFit="1" customWidth="1"/>
    <col min="14874" max="14874" width="17.6640625" style="1" bestFit="1" customWidth="1"/>
    <col min="14875" max="15104" width="8.6640625" style="1"/>
    <col min="15105" max="15105" width="2.44140625" style="1" customWidth="1"/>
    <col min="15106" max="15106" width="11.33203125" style="1" customWidth="1"/>
    <col min="15107" max="15107" width="61.44140625" style="1" customWidth="1"/>
    <col min="15108" max="15108" width="15.44140625" style="1" bestFit="1" customWidth="1"/>
    <col min="15109" max="15109" width="17" style="1" customWidth="1"/>
    <col min="15110" max="15110" width="17" style="1" bestFit="1" customWidth="1"/>
    <col min="15111" max="15111" width="17.6640625" style="1" bestFit="1" customWidth="1"/>
    <col min="15112" max="15112" width="17.44140625" style="1" bestFit="1" customWidth="1"/>
    <col min="15113" max="15113" width="15" style="1" bestFit="1" customWidth="1"/>
    <col min="15114" max="15114" width="11.6640625" style="1" bestFit="1" customWidth="1"/>
    <col min="15115" max="15119" width="14.44140625" style="1" bestFit="1" customWidth="1"/>
    <col min="15120" max="15123" width="0" style="1" hidden="1" customWidth="1"/>
    <col min="15124" max="15124" width="17" style="1" bestFit="1" customWidth="1"/>
    <col min="15125" max="15128" width="0" style="1" hidden="1" customWidth="1"/>
    <col min="15129" max="15129" width="17" style="1" bestFit="1" customWidth="1"/>
    <col min="15130" max="15130" width="17.6640625" style="1" bestFit="1" customWidth="1"/>
    <col min="15131" max="15360" width="8.6640625" style="1"/>
    <col min="15361" max="15361" width="2.44140625" style="1" customWidth="1"/>
    <col min="15362" max="15362" width="11.33203125" style="1" customWidth="1"/>
    <col min="15363" max="15363" width="61.44140625" style="1" customWidth="1"/>
    <col min="15364" max="15364" width="15.44140625" style="1" bestFit="1" customWidth="1"/>
    <col min="15365" max="15365" width="17" style="1" customWidth="1"/>
    <col min="15366" max="15366" width="17" style="1" bestFit="1" customWidth="1"/>
    <col min="15367" max="15367" width="17.6640625" style="1" bestFit="1" customWidth="1"/>
    <col min="15368" max="15368" width="17.44140625" style="1" bestFit="1" customWidth="1"/>
    <col min="15369" max="15369" width="15" style="1" bestFit="1" customWidth="1"/>
    <col min="15370" max="15370" width="11.6640625" style="1" bestFit="1" customWidth="1"/>
    <col min="15371" max="15375" width="14.44140625" style="1" bestFit="1" customWidth="1"/>
    <col min="15376" max="15379" width="0" style="1" hidden="1" customWidth="1"/>
    <col min="15380" max="15380" width="17" style="1" bestFit="1" customWidth="1"/>
    <col min="15381" max="15384" width="0" style="1" hidden="1" customWidth="1"/>
    <col min="15385" max="15385" width="17" style="1" bestFit="1" customWidth="1"/>
    <col min="15386" max="15386" width="17.6640625" style="1" bestFit="1" customWidth="1"/>
    <col min="15387" max="15616" width="8.6640625" style="1"/>
    <col min="15617" max="15617" width="2.44140625" style="1" customWidth="1"/>
    <col min="15618" max="15618" width="11.33203125" style="1" customWidth="1"/>
    <col min="15619" max="15619" width="61.44140625" style="1" customWidth="1"/>
    <col min="15620" max="15620" width="15.44140625" style="1" bestFit="1" customWidth="1"/>
    <col min="15621" max="15621" width="17" style="1" customWidth="1"/>
    <col min="15622" max="15622" width="17" style="1" bestFit="1" customWidth="1"/>
    <col min="15623" max="15623" width="17.6640625" style="1" bestFit="1" customWidth="1"/>
    <col min="15624" max="15624" width="17.44140625" style="1" bestFit="1" customWidth="1"/>
    <col min="15625" max="15625" width="15" style="1" bestFit="1" customWidth="1"/>
    <col min="15626" max="15626" width="11.6640625" style="1" bestFit="1" customWidth="1"/>
    <col min="15627" max="15631" width="14.44140625" style="1" bestFit="1" customWidth="1"/>
    <col min="15632" max="15635" width="0" style="1" hidden="1" customWidth="1"/>
    <col min="15636" max="15636" width="17" style="1" bestFit="1" customWidth="1"/>
    <col min="15637" max="15640" width="0" style="1" hidden="1" customWidth="1"/>
    <col min="15641" max="15641" width="17" style="1" bestFit="1" customWidth="1"/>
    <col min="15642" max="15642" width="17.6640625" style="1" bestFit="1" customWidth="1"/>
    <col min="15643" max="15872" width="8.6640625" style="1"/>
    <col min="15873" max="15873" width="2.44140625" style="1" customWidth="1"/>
    <col min="15874" max="15874" width="11.33203125" style="1" customWidth="1"/>
    <col min="15875" max="15875" width="61.44140625" style="1" customWidth="1"/>
    <col min="15876" max="15876" width="15.44140625" style="1" bestFit="1" customWidth="1"/>
    <col min="15877" max="15877" width="17" style="1" customWidth="1"/>
    <col min="15878" max="15878" width="17" style="1" bestFit="1" customWidth="1"/>
    <col min="15879" max="15879" width="17.6640625" style="1" bestFit="1" customWidth="1"/>
    <col min="15880" max="15880" width="17.44140625" style="1" bestFit="1" customWidth="1"/>
    <col min="15881" max="15881" width="15" style="1" bestFit="1" customWidth="1"/>
    <col min="15882" max="15882" width="11.6640625" style="1" bestFit="1" customWidth="1"/>
    <col min="15883" max="15887" width="14.44140625" style="1" bestFit="1" customWidth="1"/>
    <col min="15888" max="15891" width="0" style="1" hidden="1" customWidth="1"/>
    <col min="15892" max="15892" width="17" style="1" bestFit="1" customWidth="1"/>
    <col min="15893" max="15896" width="0" style="1" hidden="1" customWidth="1"/>
    <col min="15897" max="15897" width="17" style="1" bestFit="1" customWidth="1"/>
    <col min="15898" max="15898" width="17.6640625" style="1" bestFit="1" customWidth="1"/>
    <col min="15899" max="16128" width="8.6640625" style="1"/>
    <col min="16129" max="16129" width="2.44140625" style="1" customWidth="1"/>
    <col min="16130" max="16130" width="11.33203125" style="1" customWidth="1"/>
    <col min="16131" max="16131" width="61.44140625" style="1" customWidth="1"/>
    <col min="16132" max="16132" width="15.44140625" style="1" bestFit="1" customWidth="1"/>
    <col min="16133" max="16133" width="17" style="1" customWidth="1"/>
    <col min="16134" max="16134" width="17" style="1" bestFit="1" customWidth="1"/>
    <col min="16135" max="16135" width="17.6640625" style="1" bestFit="1" customWidth="1"/>
    <col min="16136" max="16136" width="17.44140625" style="1" bestFit="1" customWidth="1"/>
    <col min="16137" max="16137" width="15" style="1" bestFit="1" customWidth="1"/>
    <col min="16138" max="16138" width="11.6640625" style="1" bestFit="1" customWidth="1"/>
    <col min="16139" max="16143" width="14.44140625" style="1" bestFit="1" customWidth="1"/>
    <col min="16144" max="16147" width="0" style="1" hidden="1" customWidth="1"/>
    <col min="16148" max="16148" width="17" style="1" bestFit="1" customWidth="1"/>
    <col min="16149" max="16152" width="0" style="1" hidden="1" customWidth="1"/>
    <col min="16153" max="16153" width="17" style="1" bestFit="1" customWidth="1"/>
    <col min="16154" max="16154" width="17.6640625" style="1" bestFit="1" customWidth="1"/>
    <col min="16155" max="16384" width="8.6640625" style="1"/>
  </cols>
  <sheetData>
    <row r="4" spans="2:26" ht="33" customHeight="1" x14ac:dyDescent="0.3">
      <c r="B4" s="48">
        <v>5.5</v>
      </c>
      <c r="C4" s="65" t="s">
        <v>530</v>
      </c>
      <c r="D4" s="62" t="s">
        <v>26</v>
      </c>
      <c r="E4" s="62" t="s">
        <v>27</v>
      </c>
      <c r="F4" s="62" t="s">
        <v>28</v>
      </c>
      <c r="G4" s="62" t="s">
        <v>9</v>
      </c>
    </row>
    <row r="5" spans="2:26" ht="20.100000000000001" customHeight="1" x14ac:dyDescent="0.3">
      <c r="B5" s="51" t="s">
        <v>13</v>
      </c>
      <c r="C5" s="66" t="s">
        <v>134</v>
      </c>
      <c r="D5" s="67">
        <f>O20</f>
        <v>420511.11111111112</v>
      </c>
      <c r="E5" s="67">
        <f>T20</f>
        <v>462562.22222222225</v>
      </c>
      <c r="F5" s="67">
        <f>Y20</f>
        <v>508818.4444444445</v>
      </c>
      <c r="G5" s="67">
        <f>D5+E5+F5</f>
        <v>1391891.777777778</v>
      </c>
    </row>
    <row r="6" spans="2:26" ht="30.75" customHeight="1" x14ac:dyDescent="0.3">
      <c r="B6" s="51" t="s">
        <v>14</v>
      </c>
      <c r="C6" s="66" t="s">
        <v>537</v>
      </c>
      <c r="D6" s="67">
        <f>O21</f>
        <v>460244.4444444445</v>
      </c>
      <c r="E6" s="67">
        <f>T21</f>
        <v>506268.88888888899</v>
      </c>
      <c r="F6" s="67">
        <f>Y21</f>
        <v>556895.77777777798</v>
      </c>
      <c r="G6" s="67">
        <f>D6+E6+F6</f>
        <v>1523409.1111111115</v>
      </c>
    </row>
    <row r="7" spans="2:26" x14ac:dyDescent="0.3">
      <c r="B7" s="51"/>
      <c r="C7" s="68" t="s">
        <v>10</v>
      </c>
      <c r="D7" s="69">
        <f>D5+D6</f>
        <v>880755.55555555562</v>
      </c>
      <c r="E7" s="69">
        <f>E5+E6</f>
        <v>968831.11111111124</v>
      </c>
      <c r="F7" s="69">
        <f>F5+F6</f>
        <v>1065714.2222222225</v>
      </c>
      <c r="G7" s="69">
        <f>G5+G6</f>
        <v>2915300.8888888895</v>
      </c>
    </row>
    <row r="8" spans="2:26" s="592" customFormat="1" x14ac:dyDescent="0.3">
      <c r="B8" s="589"/>
      <c r="C8" s="590"/>
      <c r="D8" s="591"/>
      <c r="E8" s="591"/>
      <c r="F8" s="591"/>
      <c r="G8" s="591"/>
      <c r="I8" s="593"/>
    </row>
    <row r="9" spans="2:26" x14ac:dyDescent="0.3">
      <c r="B9" s="806" t="s">
        <v>34</v>
      </c>
      <c r="C9" s="807"/>
      <c r="D9" s="807"/>
      <c r="E9" s="807"/>
      <c r="F9" s="807"/>
      <c r="G9" s="807"/>
      <c r="H9" s="807"/>
      <c r="I9" s="807"/>
    </row>
    <row r="10" spans="2:26" x14ac:dyDescent="0.3">
      <c r="B10" s="9"/>
      <c r="C10" s="3"/>
      <c r="D10" s="3"/>
      <c r="E10" s="3"/>
      <c r="F10" s="3"/>
      <c r="G10" s="3"/>
      <c r="H10" s="3"/>
      <c r="I10" s="464"/>
      <c r="J10" s="4"/>
      <c r="K10" s="841" t="s">
        <v>26</v>
      </c>
      <c r="L10" s="841"/>
      <c r="M10" s="841"/>
      <c r="N10" s="841"/>
      <c r="O10" s="520" t="s">
        <v>26</v>
      </c>
      <c r="P10" s="843" t="s">
        <v>27</v>
      </c>
      <c r="Q10" s="844"/>
      <c r="R10" s="844"/>
      <c r="S10" s="845"/>
      <c r="T10" s="521" t="s">
        <v>27</v>
      </c>
      <c r="U10" s="843" t="s">
        <v>28</v>
      </c>
      <c r="V10" s="844"/>
      <c r="W10" s="844"/>
      <c r="X10" s="845"/>
      <c r="Y10" s="517" t="s">
        <v>28</v>
      </c>
      <c r="Z10" s="6"/>
    </row>
    <row r="11" spans="2:26" x14ac:dyDescent="0.3">
      <c r="B11" s="9"/>
      <c r="C11" s="3" t="s">
        <v>35</v>
      </c>
      <c r="D11" s="3"/>
      <c r="E11" s="3"/>
      <c r="F11" s="3"/>
      <c r="G11" s="3"/>
      <c r="H11" s="3"/>
      <c r="I11" s="464"/>
      <c r="J11" s="4"/>
      <c r="K11" s="7" t="s">
        <v>36</v>
      </c>
      <c r="L11" s="7" t="s">
        <v>37</v>
      </c>
      <c r="M11" s="7" t="s">
        <v>38</v>
      </c>
      <c r="N11" s="7" t="s">
        <v>39</v>
      </c>
      <c r="O11" s="517" t="s">
        <v>9</v>
      </c>
      <c r="P11" s="517" t="s">
        <v>36</v>
      </c>
      <c r="Q11" s="517" t="s">
        <v>37</v>
      </c>
      <c r="R11" s="517" t="s">
        <v>38</v>
      </c>
      <c r="S11" s="517" t="s">
        <v>39</v>
      </c>
      <c r="T11" s="517" t="s">
        <v>9</v>
      </c>
      <c r="U11" s="517" t="s">
        <v>36</v>
      </c>
      <c r="V11" s="517" t="s">
        <v>37</v>
      </c>
      <c r="W11" s="517" t="s">
        <v>38</v>
      </c>
      <c r="X11" s="517" t="s">
        <v>39</v>
      </c>
      <c r="Y11" s="517" t="s">
        <v>9</v>
      </c>
      <c r="Z11" s="6" t="s">
        <v>19</v>
      </c>
    </row>
    <row r="12" spans="2:26" ht="28.8" x14ac:dyDescent="0.3">
      <c r="B12" s="9"/>
      <c r="C12" s="66" t="str">
        <f>C4</f>
        <v xml:space="preserve">Build capacity of frontline workers at state and district levels in high priority states </v>
      </c>
      <c r="D12" s="66"/>
      <c r="E12" s="66"/>
      <c r="F12" s="66"/>
      <c r="G12" s="66"/>
      <c r="H12" s="66"/>
      <c r="I12" s="483"/>
      <c r="J12" s="4"/>
      <c r="K12" s="7"/>
      <c r="L12" s="7"/>
      <c r="M12" s="7"/>
      <c r="N12" s="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6"/>
    </row>
    <row r="13" spans="2:26" x14ac:dyDescent="0.3">
      <c r="B13" s="9" t="s">
        <v>135</v>
      </c>
      <c r="C13" s="3" t="str">
        <f>C5</f>
        <v>State Medical Officers</v>
      </c>
      <c r="D13" s="3"/>
      <c r="E13" s="3"/>
      <c r="F13" s="3"/>
      <c r="G13" s="3"/>
      <c r="H13" s="3"/>
      <c r="I13" s="464"/>
      <c r="J13" s="4"/>
      <c r="K13" s="7"/>
      <c r="L13" s="7">
        <v>254</v>
      </c>
      <c r="M13" s="7"/>
      <c r="N13" s="7">
        <f>L13</f>
        <v>254</v>
      </c>
      <c r="O13" s="517">
        <f>L13+N13</f>
        <v>508</v>
      </c>
      <c r="P13" s="517"/>
      <c r="Q13" s="517">
        <f>L13</f>
        <v>254</v>
      </c>
      <c r="R13" s="517"/>
      <c r="S13" s="517">
        <f>Q13</f>
        <v>254</v>
      </c>
      <c r="T13" s="517">
        <v>254</v>
      </c>
      <c r="U13" s="517"/>
      <c r="V13" s="517">
        <f>S13</f>
        <v>254</v>
      </c>
      <c r="W13" s="517">
        <f>S13</f>
        <v>254</v>
      </c>
      <c r="X13" s="517"/>
      <c r="Y13" s="517">
        <v>254</v>
      </c>
      <c r="Z13" s="6"/>
    </row>
    <row r="14" spans="2:26" x14ac:dyDescent="0.3">
      <c r="B14" s="9" t="s">
        <v>136</v>
      </c>
      <c r="C14" s="3" t="str">
        <f>C6</f>
        <v>District Immunization Officers</v>
      </c>
      <c r="D14" s="3"/>
      <c r="E14" s="3"/>
      <c r="F14" s="3"/>
      <c r="G14" s="3"/>
      <c r="H14" s="3"/>
      <c r="I14" s="464"/>
      <c r="J14" s="4"/>
      <c r="K14" s="7"/>
      <c r="L14" s="7">
        <v>278</v>
      </c>
      <c r="M14" s="7"/>
      <c r="N14" s="7">
        <f>L14</f>
        <v>278</v>
      </c>
      <c r="O14" s="517">
        <v>278</v>
      </c>
      <c r="P14" s="517"/>
      <c r="Q14" s="517">
        <f>N14</f>
        <v>278</v>
      </c>
      <c r="R14" s="517"/>
      <c r="S14" s="517">
        <f>Q14</f>
        <v>278</v>
      </c>
      <c r="T14" s="517">
        <v>278</v>
      </c>
      <c r="U14" s="517"/>
      <c r="V14" s="517">
        <f>S14</f>
        <v>278</v>
      </c>
      <c r="W14" s="517">
        <f>V14</f>
        <v>278</v>
      </c>
      <c r="X14" s="517"/>
      <c r="Y14" s="517">
        <v>278</v>
      </c>
      <c r="Z14" s="6"/>
    </row>
    <row r="15" spans="2:26" x14ac:dyDescent="0.3"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x14ac:dyDescent="0.3"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32" x14ac:dyDescent="0.3">
      <c r="B17" s="519"/>
      <c r="C17" s="464"/>
      <c r="D17" s="464"/>
      <c r="E17" s="464"/>
      <c r="F17" s="464"/>
      <c r="G17" s="464"/>
      <c r="H17" s="464"/>
      <c r="I17" s="464"/>
      <c r="J17" s="458"/>
      <c r="K17" s="820" t="s">
        <v>26</v>
      </c>
      <c r="L17" s="820"/>
      <c r="M17" s="820"/>
      <c r="N17" s="820"/>
      <c r="O17" s="518" t="str">
        <f>O10</f>
        <v>Year 1</v>
      </c>
      <c r="P17" s="821" t="s">
        <v>27</v>
      </c>
      <c r="Q17" s="821"/>
      <c r="R17" s="821"/>
      <c r="S17" s="821"/>
      <c r="T17" s="11" t="str">
        <f>T10</f>
        <v>Year 2</v>
      </c>
      <c r="U17" s="821" t="s">
        <v>28</v>
      </c>
      <c r="V17" s="821"/>
      <c r="W17" s="821"/>
      <c r="X17" s="821"/>
      <c r="Y17" s="12" t="str">
        <f>Y10</f>
        <v>Year 3</v>
      </c>
      <c r="Z17" s="13" t="s">
        <v>19</v>
      </c>
    </row>
    <row r="18" spans="1:32" x14ac:dyDescent="0.3">
      <c r="B18" s="519"/>
      <c r="C18" s="464" t="s">
        <v>49</v>
      </c>
      <c r="D18" s="464" t="s">
        <v>50</v>
      </c>
      <c r="E18" s="464" t="s">
        <v>137</v>
      </c>
      <c r="F18" s="464" t="s">
        <v>52</v>
      </c>
      <c r="G18" s="464" t="s">
        <v>53</v>
      </c>
      <c r="H18" s="464" t="s">
        <v>54</v>
      </c>
      <c r="I18" s="464" t="s">
        <v>55</v>
      </c>
      <c r="J18" s="458"/>
      <c r="K18" s="464" t="s">
        <v>36</v>
      </c>
      <c r="L18" s="464" t="s">
        <v>37</v>
      </c>
      <c r="M18" s="464" t="s">
        <v>38</v>
      </c>
      <c r="N18" s="464" t="s">
        <v>39</v>
      </c>
      <c r="O18" s="12" t="s">
        <v>9</v>
      </c>
      <c r="P18" s="12" t="s">
        <v>36</v>
      </c>
      <c r="Q18" s="12" t="s">
        <v>37</v>
      </c>
      <c r="R18" s="12" t="s">
        <v>38</v>
      </c>
      <c r="S18" s="12" t="s">
        <v>39</v>
      </c>
      <c r="T18" s="12" t="s">
        <v>9</v>
      </c>
      <c r="U18" s="12" t="s">
        <v>36</v>
      </c>
      <c r="V18" s="12" t="s">
        <v>37</v>
      </c>
      <c r="W18" s="12" t="s">
        <v>38</v>
      </c>
      <c r="X18" s="12" t="s">
        <v>39</v>
      </c>
      <c r="Y18" s="12" t="s">
        <v>9</v>
      </c>
      <c r="Z18" s="13"/>
    </row>
    <row r="19" spans="1:32" ht="28.8" x14ac:dyDescent="0.3">
      <c r="B19" s="510"/>
      <c r="C19" s="483" t="str">
        <f>C12</f>
        <v xml:space="preserve">Build capacity of frontline workers at state and district levels in high priority states </v>
      </c>
      <c r="D19" s="464"/>
      <c r="E19" s="464"/>
      <c r="F19" s="464"/>
      <c r="G19" s="464"/>
      <c r="H19" s="464"/>
      <c r="I19" s="464"/>
      <c r="J19" s="458"/>
      <c r="K19" s="464"/>
      <c r="L19" s="464"/>
      <c r="M19" s="464"/>
      <c r="N19" s="46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1:32" x14ac:dyDescent="0.3">
      <c r="B20" s="519" t="s">
        <v>135</v>
      </c>
      <c r="C20" s="464" t="str">
        <f>C13</f>
        <v>State Medical Officers</v>
      </c>
      <c r="D20" s="464">
        <f>K48</f>
        <v>11175</v>
      </c>
      <c r="E20" s="464">
        <v>2</v>
      </c>
      <c r="F20" s="464">
        <v>2</v>
      </c>
      <c r="G20" s="497">
        <v>1</v>
      </c>
      <c r="H20" s="464">
        <f>D20*E20*F20*G20</f>
        <v>44700</v>
      </c>
      <c r="I20" s="464">
        <f>H20/54</f>
        <v>827.77777777777783</v>
      </c>
      <c r="J20" s="458"/>
      <c r="K20" s="464"/>
      <c r="L20" s="89">
        <f>I20*L13</f>
        <v>210255.55555555556</v>
      </c>
      <c r="M20" s="89"/>
      <c r="N20" s="464">
        <f>L20</f>
        <v>210255.55555555556</v>
      </c>
      <c r="O20" s="12">
        <f>K20+L20+M20+N20</f>
        <v>420511.11111111112</v>
      </c>
      <c r="P20" s="12">
        <f>K20*1.1</f>
        <v>0</v>
      </c>
      <c r="Q20" s="12">
        <f t="shared" ref="Q20:S21" si="0">L20*1.1</f>
        <v>231281.11111111112</v>
      </c>
      <c r="R20" s="12">
        <f t="shared" si="0"/>
        <v>0</v>
      </c>
      <c r="S20" s="12">
        <f t="shared" si="0"/>
        <v>231281.11111111112</v>
      </c>
      <c r="T20" s="12">
        <f>P20+Q20+R20+S20</f>
        <v>462562.22222222225</v>
      </c>
      <c r="U20" s="12">
        <f>P20*1.1</f>
        <v>0</v>
      </c>
      <c r="V20" s="12">
        <f t="shared" ref="V20:X21" si="1">Q20*1.1</f>
        <v>254409.22222222225</v>
      </c>
      <c r="W20" s="12">
        <f t="shared" si="1"/>
        <v>0</v>
      </c>
      <c r="X20" s="12">
        <f t="shared" si="1"/>
        <v>254409.22222222225</v>
      </c>
      <c r="Y20" s="12">
        <f>U20+V20+W20+X20</f>
        <v>508818.4444444445</v>
      </c>
      <c r="Z20" s="13">
        <f>O20+T20+Y20</f>
        <v>1391891.777777778</v>
      </c>
    </row>
    <row r="21" spans="1:32" x14ac:dyDescent="0.3">
      <c r="B21" s="519" t="s">
        <v>136</v>
      </c>
      <c r="C21" s="464" t="str">
        <f>C14</f>
        <v>District Immunization Officers</v>
      </c>
      <c r="D21" s="464">
        <f>K48</f>
        <v>11175</v>
      </c>
      <c r="E21" s="464">
        <v>2</v>
      </c>
      <c r="F21" s="464">
        <v>2</v>
      </c>
      <c r="G21" s="497">
        <v>1</v>
      </c>
      <c r="H21" s="464">
        <f>D21*E21*F21*G21</f>
        <v>44700</v>
      </c>
      <c r="I21" s="464">
        <f>H21/54</f>
        <v>827.77777777777783</v>
      </c>
      <c r="J21" s="458"/>
      <c r="K21" s="464"/>
      <c r="L21" s="89">
        <f>I21*L14</f>
        <v>230122.22222222225</v>
      </c>
      <c r="M21" s="89"/>
      <c r="N21" s="464">
        <f>L21</f>
        <v>230122.22222222225</v>
      </c>
      <c r="O21" s="12">
        <f>K21+L21+M21+N21</f>
        <v>460244.4444444445</v>
      </c>
      <c r="P21" s="12">
        <f>K21*1.1</f>
        <v>0</v>
      </c>
      <c r="Q21" s="12">
        <f t="shared" si="0"/>
        <v>253134.4444444445</v>
      </c>
      <c r="R21" s="12">
        <f t="shared" si="0"/>
        <v>0</v>
      </c>
      <c r="S21" s="12">
        <f t="shared" si="0"/>
        <v>253134.4444444445</v>
      </c>
      <c r="T21" s="12">
        <f>P21+Q21+R21+S21</f>
        <v>506268.88888888899</v>
      </c>
      <c r="U21" s="12">
        <f>P21*1.1</f>
        <v>0</v>
      </c>
      <c r="V21" s="12">
        <f t="shared" si="1"/>
        <v>278447.88888888899</v>
      </c>
      <c r="W21" s="12">
        <f t="shared" si="1"/>
        <v>0</v>
      </c>
      <c r="X21" s="12">
        <f t="shared" si="1"/>
        <v>278447.88888888899</v>
      </c>
      <c r="Y21" s="12">
        <f>U21+V21+W21+X21</f>
        <v>556895.77777777798</v>
      </c>
      <c r="Z21" s="13">
        <f>O21+T21+Y21</f>
        <v>1523409.1111111115</v>
      </c>
    </row>
    <row r="22" spans="1:32" x14ac:dyDescent="0.3">
      <c r="B22" s="511"/>
      <c r="C22" s="467" t="s">
        <v>56</v>
      </c>
      <c r="D22" s="467"/>
      <c r="E22" s="467"/>
      <c r="F22" s="467"/>
      <c r="G22" s="467"/>
      <c r="H22" s="467"/>
      <c r="I22" s="467"/>
      <c r="J22" s="473"/>
      <c r="K22" s="467">
        <f>K20+K21</f>
        <v>0</v>
      </c>
      <c r="L22" s="467">
        <f t="shared" ref="L22:Z22" si="2">L20+L21</f>
        <v>440377.77777777781</v>
      </c>
      <c r="M22" s="467">
        <f t="shared" si="2"/>
        <v>0</v>
      </c>
      <c r="N22" s="467">
        <f t="shared" si="2"/>
        <v>440377.77777777781</v>
      </c>
      <c r="O22" s="15">
        <f t="shared" si="2"/>
        <v>880755.55555555562</v>
      </c>
      <c r="P22" s="15">
        <f t="shared" si="2"/>
        <v>0</v>
      </c>
      <c r="Q22" s="15">
        <f t="shared" si="2"/>
        <v>484415.55555555562</v>
      </c>
      <c r="R22" s="15">
        <f t="shared" si="2"/>
        <v>0</v>
      </c>
      <c r="S22" s="15">
        <f t="shared" si="2"/>
        <v>484415.55555555562</v>
      </c>
      <c r="T22" s="15">
        <f t="shared" si="2"/>
        <v>968831.11111111124</v>
      </c>
      <c r="U22" s="15">
        <f t="shared" si="2"/>
        <v>0</v>
      </c>
      <c r="V22" s="15">
        <f t="shared" si="2"/>
        <v>532857.11111111124</v>
      </c>
      <c r="W22" s="15">
        <f t="shared" si="2"/>
        <v>0</v>
      </c>
      <c r="X22" s="15">
        <f t="shared" si="2"/>
        <v>532857.11111111124</v>
      </c>
      <c r="Y22" s="15">
        <f t="shared" si="2"/>
        <v>1065714.2222222225</v>
      </c>
      <c r="Z22" s="15">
        <f t="shared" si="2"/>
        <v>2915300.8888888895</v>
      </c>
    </row>
    <row r="23" spans="1:32" s="600" customFormat="1" x14ac:dyDescent="0.3">
      <c r="B23" s="601"/>
      <c r="C23" s="602"/>
      <c r="D23" s="602"/>
      <c r="E23" s="602"/>
      <c r="F23" s="602"/>
      <c r="G23" s="602"/>
      <c r="H23" s="602"/>
      <c r="I23" s="602"/>
      <c r="J23" s="603"/>
      <c r="K23" s="602"/>
      <c r="L23" s="602"/>
      <c r="M23" s="602"/>
      <c r="N23" s="602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</row>
    <row r="24" spans="1:32" s="38" customFormat="1" x14ac:dyDescent="0.3">
      <c r="B24" s="783" t="s">
        <v>61</v>
      </c>
      <c r="C24" s="783"/>
      <c r="D24" s="783"/>
      <c r="E24" s="783"/>
      <c r="F24" s="783"/>
      <c r="G24" s="783"/>
      <c r="H24" s="783"/>
      <c r="I24" s="783"/>
      <c r="J24" s="783"/>
      <c r="K24" s="602"/>
      <c r="L24" s="602"/>
      <c r="M24" s="602"/>
      <c r="N24" s="602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0"/>
      <c r="AB24" s="600"/>
      <c r="AC24" s="600"/>
      <c r="AD24" s="600"/>
      <c r="AE24" s="600"/>
      <c r="AF24" s="600"/>
    </row>
    <row r="26" spans="1:32" x14ac:dyDescent="0.3">
      <c r="A26" s="772" t="s">
        <v>479</v>
      </c>
      <c r="B26" s="773"/>
      <c r="C26" s="773"/>
      <c r="D26" s="773"/>
      <c r="E26" s="773"/>
      <c r="F26" s="773"/>
      <c r="G26" s="773"/>
      <c r="H26" s="773"/>
      <c r="I26" s="773"/>
      <c r="J26" s="773"/>
    </row>
    <row r="27" spans="1:32" x14ac:dyDescent="0.3">
      <c r="A27" s="26"/>
      <c r="B27" s="28"/>
      <c r="C27" s="26" t="s">
        <v>4</v>
      </c>
      <c r="D27" s="26" t="s">
        <v>79</v>
      </c>
      <c r="E27" s="26" t="s">
        <v>80</v>
      </c>
      <c r="F27" s="26" t="s">
        <v>50</v>
      </c>
      <c r="G27" s="26" t="s">
        <v>57</v>
      </c>
      <c r="H27" s="27" t="s">
        <v>53</v>
      </c>
      <c r="I27" s="28" t="s">
        <v>65</v>
      </c>
      <c r="J27" s="28" t="s">
        <v>81</v>
      </c>
    </row>
    <row r="28" spans="1:32" x14ac:dyDescent="0.3">
      <c r="A28" s="774"/>
      <c r="B28" s="775"/>
      <c r="C28" s="775"/>
      <c r="D28" s="776"/>
      <c r="E28" s="107"/>
      <c r="F28" s="107"/>
      <c r="G28" s="107"/>
      <c r="H28" s="108"/>
      <c r="I28" s="107"/>
      <c r="J28" s="107"/>
    </row>
    <row r="29" spans="1:32" x14ac:dyDescent="0.3">
      <c r="A29" s="3">
        <v>1</v>
      </c>
      <c r="B29" s="9" t="s">
        <v>108</v>
      </c>
      <c r="C29" s="3"/>
      <c r="D29" s="3"/>
      <c r="E29" s="3"/>
      <c r="F29" s="3"/>
      <c r="G29" s="3"/>
      <c r="H29" s="16"/>
      <c r="I29" s="3"/>
      <c r="J29" s="3"/>
    </row>
    <row r="30" spans="1:32" x14ac:dyDescent="0.3">
      <c r="A30" s="3"/>
      <c r="B30" s="9" t="s">
        <v>84</v>
      </c>
      <c r="C30" s="3"/>
      <c r="D30" s="3" t="s">
        <v>85</v>
      </c>
      <c r="E30" s="3">
        <v>0</v>
      </c>
      <c r="F30" s="470">
        <v>30000</v>
      </c>
      <c r="G30" s="3">
        <v>5</v>
      </c>
      <c r="H30" s="16">
        <v>1</v>
      </c>
      <c r="I30" s="24">
        <f>E30*F30*G30*H30</f>
        <v>0</v>
      </c>
      <c r="J30" s="112">
        <f>I30/54</f>
        <v>0</v>
      </c>
    </row>
    <row r="31" spans="1:32" x14ac:dyDescent="0.3">
      <c r="A31" s="3"/>
      <c r="B31" s="9" t="s">
        <v>86</v>
      </c>
      <c r="C31" s="3" t="s">
        <v>87</v>
      </c>
      <c r="D31" s="3"/>
      <c r="E31" s="3">
        <v>0</v>
      </c>
      <c r="F31" s="470"/>
      <c r="G31" s="3"/>
      <c r="H31" s="16"/>
      <c r="I31" s="3"/>
      <c r="J31" s="112">
        <f>I31/54</f>
        <v>0</v>
      </c>
    </row>
    <row r="32" spans="1:32" x14ac:dyDescent="0.3">
      <c r="A32" s="3"/>
      <c r="B32" s="9"/>
      <c r="C32" s="3" t="s">
        <v>88</v>
      </c>
      <c r="D32" s="3"/>
      <c r="E32" s="3">
        <v>0</v>
      </c>
      <c r="F32" s="470">
        <v>25000</v>
      </c>
      <c r="G32" s="3">
        <v>1</v>
      </c>
      <c r="H32" s="16">
        <v>1</v>
      </c>
      <c r="I32" s="24">
        <f>E32*F32*G32*H32</f>
        <v>0</v>
      </c>
      <c r="J32" s="112">
        <f>I32/54</f>
        <v>0</v>
      </c>
    </row>
    <row r="33" spans="1:11" x14ac:dyDescent="0.3">
      <c r="A33" s="3"/>
      <c r="B33" s="9"/>
      <c r="C33" s="3" t="s">
        <v>89</v>
      </c>
      <c r="D33" s="3"/>
      <c r="E33" s="3">
        <v>0</v>
      </c>
      <c r="F33" s="470">
        <v>2500</v>
      </c>
      <c r="G33" s="3">
        <v>5</v>
      </c>
      <c r="H33" s="16">
        <v>1</v>
      </c>
      <c r="I33" s="24">
        <f>E33*F33*G33*H33</f>
        <v>0</v>
      </c>
      <c r="J33" s="112">
        <f>I33/54</f>
        <v>0</v>
      </c>
    </row>
    <row r="34" spans="1:11" x14ac:dyDescent="0.3">
      <c r="A34" s="3"/>
      <c r="B34" s="9"/>
      <c r="C34" s="3" t="s">
        <v>90</v>
      </c>
      <c r="D34" s="3"/>
      <c r="E34" s="3">
        <v>0</v>
      </c>
      <c r="F34" s="470">
        <v>10000</v>
      </c>
      <c r="G34" s="3">
        <v>5</v>
      </c>
      <c r="H34" s="16">
        <v>1</v>
      </c>
      <c r="I34" s="24">
        <f>E34*F34*G34*H34</f>
        <v>0</v>
      </c>
      <c r="J34" s="112">
        <f>I34/54</f>
        <v>0</v>
      </c>
    </row>
    <row r="35" spans="1:11" x14ac:dyDescent="0.3">
      <c r="A35" s="3"/>
      <c r="B35" s="9"/>
      <c r="C35" s="3"/>
      <c r="D35" s="82" t="s">
        <v>10</v>
      </c>
      <c r="E35" s="82"/>
      <c r="F35" s="471"/>
      <c r="G35" s="82"/>
      <c r="H35" s="123"/>
      <c r="I35" s="121">
        <f>SUM(I30:I34)</f>
        <v>0</v>
      </c>
      <c r="J35" s="121">
        <f>SUM(J30:J34)</f>
        <v>0</v>
      </c>
    </row>
    <row r="36" spans="1:11" x14ac:dyDescent="0.3">
      <c r="A36" s="96"/>
      <c r="B36" s="512"/>
      <c r="C36" s="96"/>
      <c r="D36" s="96"/>
      <c r="E36" s="96"/>
      <c r="F36" s="472"/>
      <c r="G36" s="96"/>
      <c r="H36" s="125"/>
      <c r="I36" s="126"/>
      <c r="J36" s="96"/>
    </row>
    <row r="37" spans="1:11" x14ac:dyDescent="0.3">
      <c r="A37" s="769" t="s">
        <v>109</v>
      </c>
      <c r="B37" s="770"/>
      <c r="C37" s="770"/>
      <c r="D37" s="771"/>
      <c r="E37" s="127"/>
      <c r="F37" s="474"/>
      <c r="G37" s="127"/>
      <c r="H37" s="129"/>
      <c r="I37" s="127"/>
      <c r="J37" s="127"/>
    </row>
    <row r="38" spans="1:11" x14ac:dyDescent="0.3">
      <c r="A38" s="3"/>
      <c r="B38" s="9" t="s">
        <v>92</v>
      </c>
      <c r="C38" s="3" t="s">
        <v>93</v>
      </c>
      <c r="D38" s="3"/>
      <c r="E38" s="3">
        <v>50</v>
      </c>
      <c r="F38" s="470">
        <v>400</v>
      </c>
      <c r="G38" s="3">
        <v>2</v>
      </c>
      <c r="H38" s="16">
        <v>1</v>
      </c>
      <c r="I38" s="24">
        <f>E38*F38*G38*H38</f>
        <v>40000</v>
      </c>
      <c r="J38" s="476">
        <f>I38/54</f>
        <v>740.74074074074076</v>
      </c>
    </row>
    <row r="39" spans="1:11" x14ac:dyDescent="0.3">
      <c r="A39" s="3"/>
      <c r="B39" s="9" t="s">
        <v>86</v>
      </c>
      <c r="C39" s="3" t="s">
        <v>94</v>
      </c>
      <c r="D39" s="3" t="s">
        <v>110</v>
      </c>
      <c r="E39" s="3">
        <v>50</v>
      </c>
      <c r="F39" s="470">
        <v>5000</v>
      </c>
      <c r="G39" s="3">
        <v>1</v>
      </c>
      <c r="H39" s="16">
        <v>1</v>
      </c>
      <c r="I39" s="24">
        <f t="shared" ref="I39:I45" si="3">E39*F39*G39*H39</f>
        <v>250000</v>
      </c>
      <c r="J39" s="476">
        <f t="shared" ref="J39:J46" si="4">I39/54</f>
        <v>4629.6296296296296</v>
      </c>
    </row>
    <row r="40" spans="1:11" x14ac:dyDescent="0.3">
      <c r="A40" s="3"/>
      <c r="B40" s="9" t="s">
        <v>95</v>
      </c>
      <c r="C40" s="3" t="s">
        <v>96</v>
      </c>
      <c r="D40" s="3" t="s">
        <v>110</v>
      </c>
      <c r="E40" s="3">
        <v>50</v>
      </c>
      <c r="F40" s="470">
        <v>5000</v>
      </c>
      <c r="G40" s="3">
        <v>3</v>
      </c>
      <c r="H40" s="16">
        <v>1</v>
      </c>
      <c r="I40" s="24">
        <f t="shared" si="3"/>
        <v>750000</v>
      </c>
      <c r="J40" s="476">
        <f t="shared" si="4"/>
        <v>13888.888888888889</v>
      </c>
    </row>
    <row r="41" spans="1:11" x14ac:dyDescent="0.3">
      <c r="A41" s="3"/>
      <c r="B41" s="9" t="s">
        <v>97</v>
      </c>
      <c r="C41" s="3" t="s">
        <v>111</v>
      </c>
      <c r="D41" s="3" t="s">
        <v>110</v>
      </c>
      <c r="E41" s="3">
        <v>50</v>
      </c>
      <c r="F41" s="470">
        <v>1000</v>
      </c>
      <c r="G41" s="3">
        <v>1</v>
      </c>
      <c r="H41" s="16">
        <v>1</v>
      </c>
      <c r="I41" s="24">
        <f t="shared" si="3"/>
        <v>50000</v>
      </c>
      <c r="J41" s="476">
        <f t="shared" si="4"/>
        <v>925.92592592592598</v>
      </c>
    </row>
    <row r="42" spans="1:11" x14ac:dyDescent="0.3">
      <c r="A42" s="3"/>
      <c r="B42" s="9" t="s">
        <v>99</v>
      </c>
      <c r="C42" s="3" t="s">
        <v>100</v>
      </c>
      <c r="D42" s="3" t="s">
        <v>112</v>
      </c>
      <c r="E42" s="3">
        <v>0</v>
      </c>
      <c r="F42" s="470">
        <v>10000</v>
      </c>
      <c r="G42" s="3">
        <v>0</v>
      </c>
      <c r="H42" s="16">
        <v>1</v>
      </c>
      <c r="I42" s="24">
        <f t="shared" si="3"/>
        <v>0</v>
      </c>
      <c r="J42" s="476">
        <f t="shared" si="4"/>
        <v>0</v>
      </c>
    </row>
    <row r="43" spans="1:11" x14ac:dyDescent="0.3">
      <c r="A43" s="3"/>
      <c r="B43" s="9" t="s">
        <v>101</v>
      </c>
      <c r="C43" s="3" t="s">
        <v>102</v>
      </c>
      <c r="D43" s="3"/>
      <c r="E43" s="3">
        <v>0</v>
      </c>
      <c r="F43" s="470">
        <v>25000</v>
      </c>
      <c r="G43" s="3">
        <v>0</v>
      </c>
      <c r="H43" s="16">
        <v>1</v>
      </c>
      <c r="I43" s="24">
        <f t="shared" si="3"/>
        <v>0</v>
      </c>
      <c r="J43" s="476">
        <f t="shared" si="4"/>
        <v>0</v>
      </c>
    </row>
    <row r="44" spans="1:11" x14ac:dyDescent="0.3">
      <c r="A44" s="3"/>
      <c r="B44" s="9" t="s">
        <v>103</v>
      </c>
      <c r="C44" s="3" t="s">
        <v>104</v>
      </c>
      <c r="D44" s="3" t="s">
        <v>105</v>
      </c>
      <c r="E44" s="3">
        <v>50</v>
      </c>
      <c r="F44" s="470">
        <v>150</v>
      </c>
      <c r="G44" s="3">
        <v>1</v>
      </c>
      <c r="H44" s="16">
        <v>1</v>
      </c>
      <c r="I44" s="24">
        <f t="shared" si="3"/>
        <v>7500</v>
      </c>
      <c r="J44" s="476">
        <f t="shared" si="4"/>
        <v>138.88888888888889</v>
      </c>
    </row>
    <row r="45" spans="1:11" x14ac:dyDescent="0.3">
      <c r="A45" s="3"/>
      <c r="B45" s="9" t="s">
        <v>106</v>
      </c>
      <c r="C45" s="3" t="s">
        <v>107</v>
      </c>
      <c r="D45" s="3"/>
      <c r="E45" s="3">
        <v>50</v>
      </c>
      <c r="F45" s="470">
        <v>400</v>
      </c>
      <c r="G45" s="3">
        <v>1</v>
      </c>
      <c r="H45" s="16">
        <v>1</v>
      </c>
      <c r="I45" s="24">
        <f t="shared" si="3"/>
        <v>20000</v>
      </c>
      <c r="J45" s="476">
        <f t="shared" si="4"/>
        <v>370.37037037037038</v>
      </c>
    </row>
    <row r="46" spans="1:11" x14ac:dyDescent="0.3">
      <c r="A46" s="3"/>
      <c r="B46" s="9"/>
      <c r="C46" s="3"/>
      <c r="D46" s="82" t="s">
        <v>10</v>
      </c>
      <c r="E46" s="82"/>
      <c r="F46" s="471"/>
      <c r="G46" s="82"/>
      <c r="H46" s="123"/>
      <c r="I46" s="121">
        <f>SUM(I38:I45)</f>
        <v>1117500</v>
      </c>
      <c r="J46" s="121">
        <f t="shared" si="4"/>
        <v>20694.444444444445</v>
      </c>
    </row>
    <row r="47" spans="1:11" x14ac:dyDescent="0.3">
      <c r="A47" s="3"/>
      <c r="B47" s="9"/>
      <c r="C47" s="3"/>
      <c r="D47" s="3"/>
      <c r="E47" s="3"/>
      <c r="F47" s="3"/>
      <c r="G47" s="3"/>
      <c r="H47" s="16"/>
      <c r="I47" s="3"/>
      <c r="J47" s="3"/>
      <c r="K47" s="9" t="s">
        <v>50</v>
      </c>
    </row>
    <row r="48" spans="1:11" x14ac:dyDescent="0.3">
      <c r="A48" s="3"/>
      <c r="B48" s="9"/>
      <c r="C48" s="3"/>
      <c r="D48" s="83" t="s">
        <v>19</v>
      </c>
      <c r="E48" s="83"/>
      <c r="F48" s="83"/>
      <c r="G48" s="83"/>
      <c r="H48" s="131"/>
      <c r="I48" s="132">
        <f>I35+I46</f>
        <v>1117500</v>
      </c>
      <c r="J48" s="132">
        <f>J35+J46</f>
        <v>20694.444444444445</v>
      </c>
      <c r="K48" s="519">
        <f>(I48/50)/2</f>
        <v>11175</v>
      </c>
    </row>
  </sheetData>
  <mergeCells count="11">
    <mergeCell ref="K10:N10"/>
    <mergeCell ref="P10:S10"/>
    <mergeCell ref="U10:X10"/>
    <mergeCell ref="K17:N17"/>
    <mergeCell ref="P17:S17"/>
    <mergeCell ref="U17:X17"/>
    <mergeCell ref="B24:J24"/>
    <mergeCell ref="A26:J26"/>
    <mergeCell ref="A28:D28"/>
    <mergeCell ref="A37:D37"/>
    <mergeCell ref="B9:I9"/>
  </mergeCells>
  <pageMargins left="0.7" right="0.7" top="0.75" bottom="0.75" header="0.3" footer="0.3"/>
  <pageSetup paperSize="8" scale="6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W43"/>
  <sheetViews>
    <sheetView topLeftCell="A13" zoomScale="80" zoomScaleNormal="80" zoomScalePageLayoutView="80" workbookViewId="0">
      <selection activeCell="B49" sqref="B49:J49"/>
    </sheetView>
  </sheetViews>
  <sheetFormatPr defaultColWidth="12.44140625" defaultRowHeight="14.4" x14ac:dyDescent="0.3"/>
  <cols>
    <col min="1" max="1" width="2.44140625" style="216" customWidth="1"/>
    <col min="2" max="2" width="7.44140625" style="216" customWidth="1"/>
    <col min="3" max="3" width="71.109375" style="214" customWidth="1"/>
    <col min="4" max="7" width="9.109375" style="214" customWidth="1"/>
    <col min="8" max="11" width="7.44140625" style="216" customWidth="1"/>
    <col min="12" max="12" width="2.88671875" style="216" customWidth="1"/>
    <col min="13" max="16384" width="12.44140625" style="216"/>
  </cols>
  <sheetData>
    <row r="1" spans="2:11" x14ac:dyDescent="0.3">
      <c r="B1" s="213"/>
    </row>
    <row r="2" spans="2:11" x14ac:dyDescent="0.3">
      <c r="B2" s="213"/>
    </row>
    <row r="3" spans="2:11" x14ac:dyDescent="0.3">
      <c r="B3" s="213"/>
      <c r="C3" s="217" t="s">
        <v>303</v>
      </c>
      <c r="D3" s="217"/>
      <c r="E3" s="217"/>
      <c r="F3" s="217"/>
      <c r="G3" s="217"/>
    </row>
    <row r="4" spans="2:11" x14ac:dyDescent="0.3">
      <c r="B4" s="213"/>
      <c r="C4" s="217" t="s">
        <v>1</v>
      </c>
      <c r="D4" s="217"/>
      <c r="E4" s="217"/>
      <c r="F4" s="217"/>
      <c r="G4" s="217"/>
    </row>
    <row r="5" spans="2:11" x14ac:dyDescent="0.3">
      <c r="B5" s="213"/>
      <c r="C5" s="217" t="s">
        <v>2</v>
      </c>
      <c r="D5" s="217"/>
      <c r="E5" s="217"/>
      <c r="F5" s="217"/>
      <c r="G5" s="217"/>
    </row>
    <row r="6" spans="2:11" x14ac:dyDescent="0.3">
      <c r="B6" s="213"/>
      <c r="C6" s="217"/>
      <c r="D6" s="217"/>
      <c r="E6" s="217"/>
      <c r="F6" s="217"/>
      <c r="G6" s="217"/>
    </row>
    <row r="7" spans="2:11" x14ac:dyDescent="0.3">
      <c r="B7" s="213"/>
      <c r="C7" s="218"/>
      <c r="D7" s="672" t="s">
        <v>26</v>
      </c>
      <c r="E7" s="672"/>
      <c r="F7" s="672"/>
      <c r="G7" s="672"/>
      <c r="H7" s="673"/>
      <c r="I7" s="673"/>
      <c r="J7" s="673"/>
      <c r="K7" s="673"/>
    </row>
    <row r="8" spans="2:11" x14ac:dyDescent="0.3">
      <c r="B8" s="219"/>
      <c r="C8" s="220"/>
      <c r="D8" s="676" t="s">
        <v>453</v>
      </c>
      <c r="E8" s="677"/>
      <c r="F8" s="677"/>
      <c r="G8" s="678"/>
      <c r="H8" s="679" t="s">
        <v>3</v>
      </c>
      <c r="I8" s="680"/>
      <c r="J8" s="680"/>
      <c r="K8" s="681"/>
    </row>
    <row r="9" spans="2:11" ht="28.8" x14ac:dyDescent="0.3">
      <c r="B9" s="219" t="s">
        <v>4</v>
      </c>
      <c r="C9" s="221" t="s">
        <v>5</v>
      </c>
      <c r="D9" s="427" t="s">
        <v>454</v>
      </c>
      <c r="E9" s="427" t="s">
        <v>455</v>
      </c>
      <c r="F9" s="427" t="s">
        <v>456</v>
      </c>
      <c r="G9" s="427" t="s">
        <v>457</v>
      </c>
      <c r="H9" s="222" t="s">
        <v>6</v>
      </c>
      <c r="I9" s="222" t="s">
        <v>7</v>
      </c>
      <c r="J9" s="222" t="s">
        <v>8</v>
      </c>
      <c r="K9" s="222" t="s">
        <v>9</v>
      </c>
    </row>
    <row r="10" spans="2:11" s="225" customFormat="1" ht="28.8" x14ac:dyDescent="0.3">
      <c r="B10" s="223">
        <v>1.1000000000000001</v>
      </c>
      <c r="C10" s="224" t="s">
        <v>484</v>
      </c>
      <c r="D10" s="398"/>
      <c r="E10" s="398"/>
      <c r="F10" s="398"/>
      <c r="G10" s="398"/>
      <c r="H10" s="226"/>
      <c r="I10" s="226"/>
      <c r="J10" s="226"/>
      <c r="K10" s="226"/>
    </row>
    <row r="11" spans="2:11" ht="28.8" x14ac:dyDescent="0.3">
      <c r="B11" s="227"/>
      <c r="C11" s="522" t="s">
        <v>500</v>
      </c>
      <c r="D11" s="366">
        <f>'1.1'!K87</f>
        <v>0</v>
      </c>
      <c r="E11" s="366">
        <f>'1.1'!L87/1000000</f>
        <v>5.9259259259259255E-2</v>
      </c>
      <c r="F11" s="366">
        <f>'1.1'!M87/1000000</f>
        <v>0.11851851851851851</v>
      </c>
      <c r="G11" s="366">
        <f>'1.1'!N87/1000000</f>
        <v>0.11851851851851851</v>
      </c>
      <c r="H11" s="228">
        <f>'1.1'!D5/1000000</f>
        <v>0.29629629629629628</v>
      </c>
      <c r="I11" s="228">
        <f>'1.1'!E5/1000000</f>
        <v>0</v>
      </c>
      <c r="J11" s="228">
        <f>'1.1'!F5/1000000</f>
        <v>0</v>
      </c>
      <c r="K11" s="228">
        <f>H11+I11+J11</f>
        <v>0.29629629629629628</v>
      </c>
    </row>
    <row r="12" spans="2:11" x14ac:dyDescent="0.3">
      <c r="B12" s="227"/>
      <c r="C12" s="262" t="s">
        <v>304</v>
      </c>
      <c r="D12" s="366">
        <f>'1.1'!K88</f>
        <v>0</v>
      </c>
      <c r="E12" s="366">
        <f>'1.1'!L88/1000000</f>
        <v>3.7037037037037038E-3</v>
      </c>
      <c r="F12" s="366">
        <f>'1.1'!M88/1000000</f>
        <v>3.5259259259259254E-2</v>
      </c>
      <c r="G12" s="366">
        <f>'1.1'!N88/1000000</f>
        <v>0.26651851851851854</v>
      </c>
      <c r="H12" s="228">
        <f>'1.1'!D6/1000000</f>
        <v>0.30548148148148146</v>
      </c>
      <c r="I12" s="228">
        <f>'1.1'!E6/1000000</f>
        <v>4.5718148148148154</v>
      </c>
      <c r="J12" s="228">
        <f>'1.1'!F6/1000000</f>
        <v>4.8081481481481481</v>
      </c>
      <c r="K12" s="228">
        <f t="shared" ref="K12:K13" si="0">H12+I12+J12</f>
        <v>9.6854444444444461</v>
      </c>
    </row>
    <row r="13" spans="2:11" x14ac:dyDescent="0.3">
      <c r="B13" s="227"/>
      <c r="C13" s="522" t="s">
        <v>486</v>
      </c>
      <c r="D13" s="366">
        <f>'1.1'!K89</f>
        <v>0</v>
      </c>
      <c r="E13" s="366">
        <f>'1.1'!L89/1000000</f>
        <v>0</v>
      </c>
      <c r="F13" s="366">
        <f>'1.1'!M89/1000000</f>
        <v>0</v>
      </c>
      <c r="G13" s="366">
        <f>'1.1'!N89/1000000</f>
        <v>2.7777777777777779E-3</v>
      </c>
      <c r="H13" s="228">
        <f>'1.1'!D7/1000000</f>
        <v>2.7777777777777779E-3</v>
      </c>
      <c r="I13" s="228">
        <f>'1.1'!E7/1000000</f>
        <v>7.7777777777777779E-2</v>
      </c>
      <c r="J13" s="228">
        <f>'1.1'!F7/1000000</f>
        <v>0.13703703703703704</v>
      </c>
      <c r="K13" s="228">
        <f t="shared" si="0"/>
        <v>0.21759259259259262</v>
      </c>
    </row>
    <row r="14" spans="2:11" x14ac:dyDescent="0.3">
      <c r="B14" s="227"/>
      <c r="C14" s="229" t="s">
        <v>10</v>
      </c>
      <c r="D14" s="367">
        <f>D11+D12+D13</f>
        <v>0</v>
      </c>
      <c r="E14" s="367">
        <f t="shared" ref="E14:G14" si="1">E11+E12+E13</f>
        <v>6.2962962962962957E-2</v>
      </c>
      <c r="F14" s="367">
        <f t="shared" si="1"/>
        <v>0.15377777777777776</v>
      </c>
      <c r="G14" s="367">
        <f t="shared" si="1"/>
        <v>0.38781481481481483</v>
      </c>
      <c r="H14" s="230">
        <f>SUM(H11:H13)</f>
        <v>0.60455555555555551</v>
      </c>
      <c r="I14" s="230">
        <f t="shared" ref="I14:K14" si="2">SUM(I11:I13)</f>
        <v>4.6495925925925929</v>
      </c>
      <c r="J14" s="230">
        <f t="shared" si="2"/>
        <v>4.9451851851851849</v>
      </c>
      <c r="K14" s="230">
        <f t="shared" si="2"/>
        <v>10.199333333333335</v>
      </c>
    </row>
    <row r="15" spans="2:11" s="225" customFormat="1" x14ac:dyDescent="0.3">
      <c r="B15" s="223">
        <v>2.1</v>
      </c>
      <c r="C15" s="224" t="s">
        <v>487</v>
      </c>
      <c r="D15" s="398"/>
      <c r="E15" s="398"/>
      <c r="F15" s="398"/>
      <c r="G15" s="398"/>
      <c r="H15" s="226"/>
      <c r="I15" s="226"/>
      <c r="J15" s="226"/>
      <c r="K15" s="226"/>
    </row>
    <row r="16" spans="2:11" x14ac:dyDescent="0.3">
      <c r="B16" s="227"/>
      <c r="C16" s="262" t="s">
        <v>306</v>
      </c>
      <c r="D16" s="366">
        <f>'2.1'!K70/1000000</f>
        <v>2.5925925925925929E-2</v>
      </c>
      <c r="E16" s="366">
        <f>'2.1'!L70/1000000</f>
        <v>3.8425925925925926E-2</v>
      </c>
      <c r="F16" s="366">
        <f>'2.1'!M70/1000000</f>
        <v>0.18518518518518517</v>
      </c>
      <c r="G16" s="366">
        <f>'2.1'!N70/1000000</f>
        <v>7.7314814814814808E-2</v>
      </c>
      <c r="H16" s="228">
        <f>'2.1'!D3/1000000</f>
        <v>0.32685185185185184</v>
      </c>
      <c r="I16" s="228">
        <f>'2.1'!E3/1000000</f>
        <v>1.8188148148148149</v>
      </c>
      <c r="J16" s="228">
        <f>'2.1'!F3/1000000</f>
        <v>1.2731481481481484</v>
      </c>
      <c r="K16" s="228">
        <f>H16+I16+J16</f>
        <v>3.418814814814815</v>
      </c>
    </row>
    <row r="17" spans="2:13" ht="28.8" x14ac:dyDescent="0.3">
      <c r="B17" s="227"/>
      <c r="C17" s="522" t="s">
        <v>488</v>
      </c>
      <c r="D17" s="366">
        <f>'2.1'!K71/1000000</f>
        <v>9.2592592592592601E-2</v>
      </c>
      <c r="E17" s="366">
        <f>'2.1'!L71/1000000</f>
        <v>0.15740740740740741</v>
      </c>
      <c r="F17" s="366">
        <f>'2.1'!M71/1000000</f>
        <v>0.24074074074074073</v>
      </c>
      <c r="G17" s="366">
        <f>'2.1'!N71/1000000</f>
        <v>2.7777777777777776E-2</v>
      </c>
      <c r="H17" s="228">
        <f>'2.1'!D4/1000000</f>
        <v>0.51851851851851849</v>
      </c>
      <c r="I17" s="228">
        <f>'2.1'!E4/1000000</f>
        <v>3.2425925925925929</v>
      </c>
      <c r="J17" s="228">
        <f>'2.1'!F4/1000000</f>
        <v>1.5590740740740741</v>
      </c>
      <c r="K17" s="228">
        <f t="shared" ref="K17" si="3">H17+I17+J17</f>
        <v>5.3201851851851858</v>
      </c>
    </row>
    <row r="18" spans="2:13" x14ac:dyDescent="0.3">
      <c r="B18" s="227"/>
      <c r="C18" s="229" t="s">
        <v>10</v>
      </c>
      <c r="D18" s="367">
        <f>D16+D17</f>
        <v>0.11851851851851852</v>
      </c>
      <c r="E18" s="367">
        <f t="shared" ref="E18:G18" si="4">E16+E17</f>
        <v>0.19583333333333333</v>
      </c>
      <c r="F18" s="367">
        <f t="shared" si="4"/>
        <v>0.42592592592592593</v>
      </c>
      <c r="G18" s="367">
        <f t="shared" si="4"/>
        <v>0.10509259259259258</v>
      </c>
      <c r="H18" s="230">
        <f>SUM(H16:H17)</f>
        <v>0.84537037037037033</v>
      </c>
      <c r="I18" s="230">
        <f t="shared" ref="I18:K18" si="5">SUM(I16:I17)</f>
        <v>5.0614074074074082</v>
      </c>
      <c r="J18" s="230">
        <f t="shared" si="5"/>
        <v>2.8322222222222226</v>
      </c>
      <c r="K18" s="230">
        <f t="shared" si="5"/>
        <v>8.7390000000000008</v>
      </c>
      <c r="M18" s="371"/>
    </row>
    <row r="19" spans="2:13" s="225" customFormat="1" x14ac:dyDescent="0.3">
      <c r="B19" s="223">
        <v>2.2000000000000002</v>
      </c>
      <c r="C19" s="224" t="s">
        <v>491</v>
      </c>
      <c r="D19" s="398"/>
      <c r="E19" s="398"/>
      <c r="F19" s="398"/>
      <c r="G19" s="398"/>
      <c r="H19" s="226"/>
      <c r="I19" s="226"/>
      <c r="J19" s="226"/>
      <c r="K19" s="226"/>
    </row>
    <row r="20" spans="2:13" x14ac:dyDescent="0.3">
      <c r="B20" s="227"/>
      <c r="C20" s="522" t="s">
        <v>493</v>
      </c>
      <c r="D20" s="366">
        <f>'2.2'!K51/1000000</f>
        <v>1.8518518518518519E-3</v>
      </c>
      <c r="E20" s="366">
        <f>'2.2'!L51/1000000</f>
        <v>5.5879629629629626E-2</v>
      </c>
      <c r="F20" s="366">
        <f>'2.2'!M51/1000000</f>
        <v>0.69444444444444442</v>
      </c>
      <c r="G20" s="366">
        <f>'2.2'!N51/1000000</f>
        <v>0</v>
      </c>
      <c r="H20" s="228">
        <f>'2.2'!D3/1000000</f>
        <v>0.75217592592592586</v>
      </c>
      <c r="I20" s="228">
        <f>'2.2'!E3/1000000</f>
        <v>0</v>
      </c>
      <c r="J20" s="228">
        <f>'2.2'!F3/1000000</f>
        <v>0</v>
      </c>
      <c r="K20" s="228">
        <f>H20+I20+J20</f>
        <v>0.75217592592592586</v>
      </c>
    </row>
    <row r="21" spans="2:13" x14ac:dyDescent="0.3">
      <c r="B21" s="227"/>
      <c r="C21" s="522" t="s">
        <v>492</v>
      </c>
      <c r="D21" s="366">
        <f>'2.2'!K52/1000000</f>
        <v>0</v>
      </c>
      <c r="E21" s="366">
        <f>'2.2'!L52/1000000</f>
        <v>0</v>
      </c>
      <c r="F21" s="366">
        <f>'2.2'!M52/1000000</f>
        <v>0.20833333333333331</v>
      </c>
      <c r="G21" s="366">
        <f>'2.2'!N52/1000000</f>
        <v>0.20237037037037037</v>
      </c>
      <c r="H21" s="228">
        <f>'2.2'!D4/1000000</f>
        <v>0.41070370370370368</v>
      </c>
      <c r="I21" s="228">
        <f>'2.2'!E4/1000000</f>
        <v>3.6084583333333331</v>
      </c>
      <c r="J21" s="228">
        <f>'2.2'!F4/1000000</f>
        <v>3.72113425925926</v>
      </c>
      <c r="K21" s="228">
        <f t="shared" ref="K21" si="6">H21+I21+J21</f>
        <v>7.7402962962962967</v>
      </c>
    </row>
    <row r="22" spans="2:13" x14ac:dyDescent="0.3">
      <c r="B22" s="227"/>
      <c r="C22" s="229" t="s">
        <v>10</v>
      </c>
      <c r="D22" s="367">
        <f>D20+D21</f>
        <v>1.8518518518518519E-3</v>
      </c>
      <c r="E22" s="367">
        <f t="shared" ref="E22:G22" si="7">E20+E21</f>
        <v>5.5879629629629626E-2</v>
      </c>
      <c r="F22" s="367">
        <f t="shared" si="7"/>
        <v>0.90277777777777768</v>
      </c>
      <c r="G22" s="367">
        <f t="shared" si="7"/>
        <v>0.20237037037037037</v>
      </c>
      <c r="H22" s="230">
        <f>SUM(H20:H21)</f>
        <v>1.1628796296296295</v>
      </c>
      <c r="I22" s="230">
        <f t="shared" ref="I22:K22" si="8">SUM(I20:I21)</f>
        <v>3.6084583333333331</v>
      </c>
      <c r="J22" s="230">
        <f t="shared" si="8"/>
        <v>3.72113425925926</v>
      </c>
      <c r="K22" s="230">
        <f t="shared" si="8"/>
        <v>8.4924722222222222</v>
      </c>
    </row>
    <row r="23" spans="2:13" s="225" customFormat="1" x14ac:dyDescent="0.3">
      <c r="B23" s="223">
        <v>3.5</v>
      </c>
      <c r="C23" s="224" t="s">
        <v>16</v>
      </c>
      <c r="D23" s="398"/>
      <c r="E23" s="398"/>
      <c r="F23" s="398"/>
      <c r="G23" s="398"/>
      <c r="H23" s="226"/>
      <c r="I23" s="226"/>
      <c r="J23" s="226"/>
      <c r="K23" s="226"/>
    </row>
    <row r="24" spans="2:13" ht="28.8" x14ac:dyDescent="0.3">
      <c r="B24" s="227"/>
      <c r="C24" s="262" t="s">
        <v>309</v>
      </c>
      <c r="D24" s="366">
        <f>'3.5'!K43/1000000</f>
        <v>0</v>
      </c>
      <c r="E24" s="366">
        <f>'3.5'!L43/1000000</f>
        <v>0</v>
      </c>
      <c r="F24" s="366">
        <f>'3.5'!M43/1000000</f>
        <v>1.8518518518518519E-3</v>
      </c>
      <c r="G24" s="366">
        <f>'3.5'!N43/1000000</f>
        <v>0.1111111111111111</v>
      </c>
      <c r="H24" s="228">
        <f>'3.5'!D3/1000000</f>
        <v>0.11296296296296296</v>
      </c>
      <c r="I24" s="228">
        <f>'3.5'!E3/1000000</f>
        <v>0.11851851851851851</v>
      </c>
      <c r="J24" s="228">
        <f>'3.5'!F3/1000000</f>
        <v>0.11481481481481481</v>
      </c>
      <c r="K24" s="228">
        <f>H24+I24+J24</f>
        <v>0.34629629629629627</v>
      </c>
    </row>
    <row r="25" spans="2:13" x14ac:dyDescent="0.3">
      <c r="B25" s="227"/>
      <c r="C25" s="262" t="s">
        <v>310</v>
      </c>
      <c r="D25" s="366">
        <f>'3.5'!K44/1000000</f>
        <v>2.2222222222222222E-3</v>
      </c>
      <c r="E25" s="366">
        <f>'3.5'!L44/1000000</f>
        <v>2.2222222222222222E-3</v>
      </c>
      <c r="F25" s="366">
        <f>'3.5'!M44/1000000</f>
        <v>2.2222222222222222E-3</v>
      </c>
      <c r="G25" s="366">
        <f>'3.5'!N44/1000000</f>
        <v>1.3333333333333334E-2</v>
      </c>
      <c r="H25" s="228">
        <f>'3.5'!D4/1000000</f>
        <v>0.02</v>
      </c>
      <c r="I25" s="228">
        <f>'3.5'!E4/1000000</f>
        <v>0.02</v>
      </c>
      <c r="J25" s="228">
        <f>'3.5'!F4/1000000</f>
        <v>0.02</v>
      </c>
      <c r="K25" s="228">
        <f t="shared" ref="K25" si="9">H25+I25+J25</f>
        <v>0.06</v>
      </c>
    </row>
    <row r="26" spans="2:13" x14ac:dyDescent="0.3">
      <c r="B26" s="227"/>
      <c r="C26" s="229" t="s">
        <v>10</v>
      </c>
      <c r="D26" s="367">
        <f>D24+D25</f>
        <v>2.2222222222222222E-3</v>
      </c>
      <c r="E26" s="367">
        <f t="shared" ref="E26:G26" si="10">E24+E25</f>
        <v>2.2222222222222222E-3</v>
      </c>
      <c r="F26" s="367">
        <f t="shared" si="10"/>
        <v>4.0740740740740737E-3</v>
      </c>
      <c r="G26" s="367">
        <f t="shared" si="10"/>
        <v>0.12444444444444444</v>
      </c>
      <c r="H26" s="230">
        <f>SUM(H24:H25)</f>
        <v>0.13296296296296295</v>
      </c>
      <c r="I26" s="230">
        <f t="shared" ref="I26:K26" si="11">SUM(I24:I25)</f>
        <v>0.13851851851851851</v>
      </c>
      <c r="J26" s="230">
        <f t="shared" si="11"/>
        <v>0.1348148148148148</v>
      </c>
      <c r="K26" s="230">
        <f t="shared" si="11"/>
        <v>0.40629629629629627</v>
      </c>
    </row>
    <row r="27" spans="2:13" s="225" customFormat="1" ht="28.8" x14ac:dyDescent="0.3">
      <c r="B27" s="223">
        <v>4.2</v>
      </c>
      <c r="C27" s="224" t="s">
        <v>311</v>
      </c>
      <c r="D27" s="398"/>
      <c r="E27" s="398"/>
      <c r="F27" s="398"/>
      <c r="G27" s="398"/>
      <c r="H27" s="226"/>
      <c r="I27" s="226"/>
      <c r="J27" s="226"/>
      <c r="K27" s="226"/>
    </row>
    <row r="28" spans="2:13" ht="28.8" x14ac:dyDescent="0.3">
      <c r="B28" s="227"/>
      <c r="C28" s="262" t="s">
        <v>312</v>
      </c>
      <c r="D28" s="366">
        <f>'4.2'!K41/1000000</f>
        <v>3.7037037037037038E-3</v>
      </c>
      <c r="E28" s="366">
        <f>'4.2'!L41/1000000</f>
        <v>0.64814814814814825</v>
      </c>
      <c r="F28" s="366">
        <f>'4.2'!M41/1000000</f>
        <v>0</v>
      </c>
      <c r="G28" s="366">
        <f>'4.2'!N41/1000000</f>
        <v>0</v>
      </c>
      <c r="H28" s="228">
        <f>'4.2'!D3/1000000</f>
        <v>0.6518518518518519</v>
      </c>
      <c r="I28" s="228">
        <f>'4.2'!E3/1000000</f>
        <v>0</v>
      </c>
      <c r="J28" s="228">
        <f>'4.2'!F3/1000000</f>
        <v>0</v>
      </c>
      <c r="K28" s="228">
        <f>H28+I28+J28</f>
        <v>0.6518518518518519</v>
      </c>
    </row>
    <row r="29" spans="2:13" ht="28.8" x14ac:dyDescent="0.3">
      <c r="B29" s="227"/>
      <c r="C29" s="262" t="s">
        <v>313</v>
      </c>
      <c r="D29" s="366">
        <f>'4.2'!K42/1000000</f>
        <v>0</v>
      </c>
      <c r="E29" s="366">
        <f>'4.2'!L42/1000000</f>
        <v>0</v>
      </c>
      <c r="F29" s="366">
        <f>'4.2'!M42/1000000</f>
        <v>8.9036814814814819E-2</v>
      </c>
      <c r="G29" s="366">
        <f>'4.2'!N42/1000000</f>
        <v>8.9036814814814819E-2</v>
      </c>
      <c r="H29" s="228">
        <f>'4.2'!D4/1000000</f>
        <v>0.17807362962962964</v>
      </c>
      <c r="I29" s="228">
        <f>'4.2'!E4/1000000</f>
        <v>0.35614725925925927</v>
      </c>
      <c r="J29" s="228">
        <f>'4.2'!F4/1000000</f>
        <v>0.35614725925925927</v>
      </c>
      <c r="K29" s="228">
        <f t="shared" ref="K29" si="12">H29+I29+J29</f>
        <v>0.89036814814814813</v>
      </c>
    </row>
    <row r="30" spans="2:13" x14ac:dyDescent="0.3">
      <c r="B30" s="227"/>
      <c r="C30" s="229" t="s">
        <v>10</v>
      </c>
      <c r="D30" s="367">
        <f>D28+D29</f>
        <v>3.7037037037037038E-3</v>
      </c>
      <c r="E30" s="367">
        <f t="shared" ref="E30:G30" si="13">E28+E29</f>
        <v>0.64814814814814825</v>
      </c>
      <c r="F30" s="367">
        <f t="shared" si="13"/>
        <v>8.9036814814814819E-2</v>
      </c>
      <c r="G30" s="367">
        <f t="shared" si="13"/>
        <v>8.9036814814814819E-2</v>
      </c>
      <c r="H30" s="230">
        <f>SUM(H28:H29)</f>
        <v>0.8299254814814816</v>
      </c>
      <c r="I30" s="230">
        <f t="shared" ref="I30:K30" si="14">SUM(I28:I29)</f>
        <v>0.35614725925925927</v>
      </c>
      <c r="J30" s="230">
        <f t="shared" si="14"/>
        <v>0.35614725925925927</v>
      </c>
      <c r="K30" s="230">
        <f t="shared" si="14"/>
        <v>1.5422199999999999</v>
      </c>
    </row>
    <row r="31" spans="2:13" s="225" customFormat="1" ht="30" customHeight="1" x14ac:dyDescent="0.3">
      <c r="B31" s="223">
        <v>4.3</v>
      </c>
      <c r="C31" s="224" t="s">
        <v>314</v>
      </c>
      <c r="D31" s="398"/>
      <c r="E31" s="398"/>
      <c r="F31" s="398"/>
      <c r="G31" s="398"/>
      <c r="H31" s="226"/>
      <c r="I31" s="226"/>
      <c r="J31" s="226"/>
      <c r="K31" s="226"/>
    </row>
    <row r="32" spans="2:13" s="225" customFormat="1" x14ac:dyDescent="0.3">
      <c r="B32" s="223"/>
      <c r="C32" s="522" t="s">
        <v>494</v>
      </c>
      <c r="D32" s="366">
        <f>'4.3'!K45/1000000</f>
        <v>0</v>
      </c>
      <c r="E32" s="366">
        <f>'4.3'!L45/1000000</f>
        <v>5.1111111111111107E-2</v>
      </c>
      <c r="F32" s="366">
        <f>'4.3'!M45/1000000</f>
        <v>8.2777777777777783E-2</v>
      </c>
      <c r="G32" s="366">
        <f>'4.3'!N45/1000000</f>
        <v>5.1111111111111107E-2</v>
      </c>
      <c r="H32" s="228">
        <f>'4.3'!D3/1000000</f>
        <v>0.185</v>
      </c>
      <c r="I32" s="228">
        <f>'4.3'!E3/1000000</f>
        <v>0.11333333333333334</v>
      </c>
      <c r="J32" s="228">
        <f>'4.3'!F3/1000000</f>
        <v>0.11822222222222221</v>
      </c>
      <c r="K32" s="228">
        <f>H32+I32+J32</f>
        <v>0.41655555555555557</v>
      </c>
    </row>
    <row r="33" spans="2:23" s="225" customFormat="1" x14ac:dyDescent="0.3">
      <c r="B33" s="223"/>
      <c r="C33" s="522" t="s">
        <v>495</v>
      </c>
      <c r="D33" s="366">
        <f>'4.3'!K46/1000000</f>
        <v>0</v>
      </c>
      <c r="E33" s="366">
        <f>'4.3'!L46/1000000</f>
        <v>0</v>
      </c>
      <c r="F33" s="366">
        <f>'4.3'!M46/1000000</f>
        <v>0.65</v>
      </c>
      <c r="G33" s="366">
        <f>'4.3'!N46/1000000</f>
        <v>2.3148148148148147E-2</v>
      </c>
      <c r="H33" s="228">
        <f>'4.3'!D4/1000000</f>
        <v>0.67314814814814805</v>
      </c>
      <c r="I33" s="228">
        <f>'4.3'!E4/1000000</f>
        <v>1.9675925925925928</v>
      </c>
      <c r="J33" s="228">
        <f>'4.3'!F4/1000000</f>
        <v>1.3194444444444446</v>
      </c>
      <c r="K33" s="228">
        <f t="shared" ref="K33" si="15">H33+I33+J33</f>
        <v>3.9601851851851855</v>
      </c>
    </row>
    <row r="34" spans="2:23" s="225" customFormat="1" x14ac:dyDescent="0.3">
      <c r="B34" s="223"/>
      <c r="C34" s="229" t="s">
        <v>10</v>
      </c>
      <c r="D34" s="367">
        <f>D32+D33</f>
        <v>0</v>
      </c>
      <c r="E34" s="367">
        <f t="shared" ref="E34:G34" si="16">E32+E33</f>
        <v>5.1111111111111107E-2</v>
      </c>
      <c r="F34" s="367">
        <f t="shared" si="16"/>
        <v>0.73277777777777775</v>
      </c>
      <c r="G34" s="367">
        <f t="shared" si="16"/>
        <v>7.4259259259259247E-2</v>
      </c>
      <c r="H34" s="230">
        <f>H32+H33</f>
        <v>0.8581481481481481</v>
      </c>
      <c r="I34" s="230">
        <f t="shared" ref="I34:K34" si="17">I32+I33</f>
        <v>2.0809259259259263</v>
      </c>
      <c r="J34" s="230">
        <f t="shared" si="17"/>
        <v>1.4376666666666669</v>
      </c>
      <c r="K34" s="230">
        <f t="shared" si="17"/>
        <v>4.3767407407407415</v>
      </c>
    </row>
    <row r="35" spans="2:23" s="225" customFormat="1" ht="12.75" hidden="1" customHeight="1" x14ac:dyDescent="0.3">
      <c r="B35" s="223"/>
      <c r="C35" s="231" t="s">
        <v>15</v>
      </c>
      <c r="D35" s="399"/>
      <c r="E35" s="399"/>
      <c r="F35" s="399"/>
      <c r="G35" s="399"/>
      <c r="H35" s="226">
        <v>12.590000000000002</v>
      </c>
      <c r="I35" s="226">
        <v>12.150000000000002</v>
      </c>
      <c r="J35" s="226">
        <v>10.6</v>
      </c>
      <c r="K35" s="226">
        <v>35.340000000000003</v>
      </c>
    </row>
    <row r="36" spans="2:23" s="234" customFormat="1" x14ac:dyDescent="0.3">
      <c r="B36" s="232"/>
      <c r="C36" s="233" t="s">
        <v>507</v>
      </c>
      <c r="D36" s="400">
        <f>0.5/4</f>
        <v>0.125</v>
      </c>
      <c r="E36" s="400">
        <f t="shared" ref="E36:G36" si="18">0.5/4</f>
        <v>0.125</v>
      </c>
      <c r="F36" s="400">
        <f t="shared" si="18"/>
        <v>0.125</v>
      </c>
      <c r="G36" s="400">
        <f t="shared" si="18"/>
        <v>0.125</v>
      </c>
      <c r="H36" s="235">
        <v>0.5</v>
      </c>
      <c r="I36" s="235">
        <v>0.5</v>
      </c>
      <c r="J36" s="235">
        <v>0.5</v>
      </c>
      <c r="K36" s="235">
        <v>1.5</v>
      </c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</row>
    <row r="37" spans="2:23" x14ac:dyDescent="0.3">
      <c r="B37" s="227"/>
      <c r="C37" s="236" t="s">
        <v>506</v>
      </c>
      <c r="D37" s="401">
        <f>0.11/4</f>
        <v>2.75E-2</v>
      </c>
      <c r="E37" s="401">
        <f t="shared" ref="E37:G37" si="19">0.11/4</f>
        <v>2.75E-2</v>
      </c>
      <c r="F37" s="401">
        <f t="shared" si="19"/>
        <v>2.75E-2</v>
      </c>
      <c r="G37" s="401">
        <f t="shared" si="19"/>
        <v>2.75E-2</v>
      </c>
      <c r="H37" s="228">
        <f>'Secretarial Support'!M17/1000000</f>
        <v>0.1089936</v>
      </c>
      <c r="I37" s="228">
        <f>'Secretarial Support'!N17/1000000</f>
        <v>0.11351841454545454</v>
      </c>
      <c r="J37" s="228">
        <f>'Secretarial Support'!O17/1000000</f>
        <v>0.12309571054545454</v>
      </c>
      <c r="K37" s="228">
        <f>'Secretarial Support'!P17/1000000</f>
        <v>0.34560772509090909</v>
      </c>
    </row>
    <row r="38" spans="2:23" x14ac:dyDescent="0.3">
      <c r="B38" s="227"/>
      <c r="C38" s="229" t="s">
        <v>10</v>
      </c>
      <c r="D38" s="367">
        <f>D36+D37</f>
        <v>0.1525</v>
      </c>
      <c r="E38" s="367">
        <f t="shared" ref="E38:G38" si="20">E36+E37</f>
        <v>0.1525</v>
      </c>
      <c r="F38" s="367">
        <f t="shared" si="20"/>
        <v>0.1525</v>
      </c>
      <c r="G38" s="367">
        <f t="shared" si="20"/>
        <v>0.1525</v>
      </c>
      <c r="H38" s="230">
        <f>SUM(H36:H37)</f>
        <v>0.60899360000000002</v>
      </c>
      <c r="I38" s="230">
        <f t="shared" ref="I38:K38" si="21">SUM(I36:I37)</f>
        <v>0.61351841454545453</v>
      </c>
      <c r="J38" s="230">
        <f t="shared" si="21"/>
        <v>0.62309571054545454</v>
      </c>
      <c r="K38" s="230">
        <f t="shared" si="21"/>
        <v>1.8456077250909091</v>
      </c>
    </row>
    <row r="39" spans="2:23" s="225" customFormat="1" ht="15.75" customHeight="1" x14ac:dyDescent="0.3">
      <c r="B39" s="226"/>
      <c r="C39" s="237" t="s">
        <v>17</v>
      </c>
      <c r="D39" s="402"/>
      <c r="E39" s="402"/>
      <c r="F39" s="402"/>
      <c r="G39" s="402"/>
      <c r="H39" s="238">
        <f>H14+H18+H22+H26+H30+H34+H38</f>
        <v>5.0428357481481472</v>
      </c>
      <c r="I39" s="238">
        <f t="shared" ref="I39:K39" si="22">I14+I18+I22+I26+I30+I34+I38</f>
        <v>16.508568451582494</v>
      </c>
      <c r="J39" s="238">
        <f t="shared" si="22"/>
        <v>14.050266117952864</v>
      </c>
      <c r="K39" s="238">
        <f t="shared" si="22"/>
        <v>35.601670317683507</v>
      </c>
    </row>
    <row r="40" spans="2:23" s="225" customFormat="1" ht="47.25" customHeight="1" x14ac:dyDescent="0.3">
      <c r="B40" s="235"/>
      <c r="C40" s="239" t="s">
        <v>531</v>
      </c>
      <c r="D40" s="403"/>
      <c r="E40" s="403"/>
      <c r="F40" s="403"/>
      <c r="G40" s="403"/>
      <c r="H40" s="240">
        <f>H39*5%</f>
        <v>0.25214178740740739</v>
      </c>
      <c r="I40" s="240">
        <f t="shared" ref="I40:K40" si="23">I39*5%</f>
        <v>0.82542842257912474</v>
      </c>
      <c r="J40" s="240">
        <f t="shared" si="23"/>
        <v>0.70251330589764327</v>
      </c>
      <c r="K40" s="240">
        <f t="shared" si="23"/>
        <v>1.7800835158841755</v>
      </c>
    </row>
    <row r="41" spans="2:23" s="225" customFormat="1" ht="15.75" customHeight="1" x14ac:dyDescent="0.3">
      <c r="B41" s="235"/>
      <c r="C41" s="229" t="s">
        <v>10</v>
      </c>
      <c r="D41" s="367"/>
      <c r="E41" s="367"/>
      <c r="F41" s="367"/>
      <c r="G41" s="367"/>
      <c r="H41" s="230">
        <f>H39+H40</f>
        <v>5.2949775355555548</v>
      </c>
      <c r="I41" s="230">
        <f t="shared" ref="I41:K41" si="24">I39+I40</f>
        <v>17.33399687416162</v>
      </c>
      <c r="J41" s="230">
        <f t="shared" si="24"/>
        <v>14.752779423850507</v>
      </c>
      <c r="K41" s="230">
        <f t="shared" si="24"/>
        <v>37.381753833567679</v>
      </c>
    </row>
    <row r="42" spans="2:23" x14ac:dyDescent="0.3">
      <c r="B42" s="222"/>
      <c r="C42" s="262" t="s">
        <v>316</v>
      </c>
      <c r="D42" s="366"/>
      <c r="E42" s="366"/>
      <c r="F42" s="366"/>
      <c r="G42" s="366"/>
      <c r="H42" s="228">
        <f>H41*7%</f>
        <v>0.37064842748888888</v>
      </c>
      <c r="I42" s="228">
        <f t="shared" ref="I42:J42" si="25">I41*7%</f>
        <v>1.2133797811913136</v>
      </c>
      <c r="J42" s="228">
        <f t="shared" si="25"/>
        <v>1.0326945596695356</v>
      </c>
      <c r="K42" s="228">
        <f>H42+I42+J42</f>
        <v>2.6167227683497378</v>
      </c>
      <c r="M42" s="241"/>
    </row>
    <row r="43" spans="2:23" s="225" customFormat="1" ht="18" customHeight="1" x14ac:dyDescent="0.3">
      <c r="B43" s="226"/>
      <c r="C43" s="242" t="s">
        <v>19</v>
      </c>
      <c r="D43" s="404"/>
      <c r="E43" s="404"/>
      <c r="F43" s="404"/>
      <c r="G43" s="404"/>
      <c r="H43" s="243">
        <f>H41+H42</f>
        <v>5.6656259630444437</v>
      </c>
      <c r="I43" s="243">
        <f t="shared" ref="I43:K43" si="26">I41+I42</f>
        <v>18.547376655352934</v>
      </c>
      <c r="J43" s="243">
        <f t="shared" si="26"/>
        <v>15.785473983520042</v>
      </c>
      <c r="K43" s="243">
        <f t="shared" si="26"/>
        <v>39.998476601917417</v>
      </c>
    </row>
  </sheetData>
  <mergeCells count="4">
    <mergeCell ref="D7:G7"/>
    <mergeCell ref="H7:K7"/>
    <mergeCell ref="D8:G8"/>
    <mergeCell ref="H8:K8"/>
  </mergeCells>
  <pageMargins left="0.75" right="0.75" top="1" bottom="1" header="0.5" footer="0.5"/>
  <pageSetup paperSize="9" scale="5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4:AK109"/>
  <sheetViews>
    <sheetView zoomScale="90" zoomScaleNormal="90" zoomScalePageLayoutView="90" workbookViewId="0">
      <selection activeCell="B49" sqref="B49:J49"/>
    </sheetView>
  </sheetViews>
  <sheetFormatPr defaultColWidth="8.88671875" defaultRowHeight="14.4" x14ac:dyDescent="0.3"/>
  <cols>
    <col min="1" max="1" width="2.44140625" style="216" customWidth="1"/>
    <col min="2" max="2" width="6.44140625" style="216" customWidth="1"/>
    <col min="3" max="3" width="61.44140625" style="216" customWidth="1"/>
    <col min="4" max="4" width="15.44140625" style="216" bestFit="1" customWidth="1"/>
    <col min="5" max="5" width="17" style="216" customWidth="1"/>
    <col min="6" max="6" width="17" style="216" bestFit="1" customWidth="1"/>
    <col min="7" max="7" width="18.6640625" style="216" bestFit="1" customWidth="1"/>
    <col min="8" max="8" width="17.44140625" style="216" bestFit="1" customWidth="1"/>
    <col min="9" max="9" width="15" style="216" bestFit="1" customWidth="1"/>
    <col min="10" max="10" width="6.44140625" style="216" customWidth="1"/>
    <col min="11" max="15" width="14.44140625" style="216" bestFit="1" customWidth="1"/>
    <col min="16" max="19" width="17" style="216" hidden="1" customWidth="1"/>
    <col min="20" max="20" width="17" style="216" bestFit="1" customWidth="1"/>
    <col min="21" max="24" width="17" style="216" hidden="1" customWidth="1"/>
    <col min="25" max="25" width="17" style="216" bestFit="1" customWidth="1"/>
    <col min="26" max="26" width="18.6640625" style="225" bestFit="1" customWidth="1"/>
    <col min="27" max="16384" width="8.88671875" style="216"/>
  </cols>
  <sheetData>
    <row r="4" spans="2:37" ht="28.5" customHeight="1" x14ac:dyDescent="0.3">
      <c r="B4" s="223">
        <v>1.1000000000000001</v>
      </c>
      <c r="C4" s="244" t="s">
        <v>484</v>
      </c>
      <c r="D4" s="226" t="s">
        <v>26</v>
      </c>
      <c r="E4" s="226" t="s">
        <v>27</v>
      </c>
      <c r="F4" s="226" t="s">
        <v>28</v>
      </c>
      <c r="G4" s="226" t="s">
        <v>9</v>
      </c>
    </row>
    <row r="5" spans="2:37" ht="31.5" customHeight="1" x14ac:dyDescent="0.3">
      <c r="B5" s="227" t="s">
        <v>317</v>
      </c>
      <c r="C5" s="523" t="s">
        <v>500</v>
      </c>
      <c r="D5" s="246">
        <f>O87</f>
        <v>296296.29629629629</v>
      </c>
      <c r="E5" s="246">
        <f>T87</f>
        <v>0</v>
      </c>
      <c r="F5" s="246">
        <f>Y87</f>
        <v>0</v>
      </c>
      <c r="G5" s="246">
        <f>D5+E5+F5</f>
        <v>296296.29629629629</v>
      </c>
    </row>
    <row r="6" spans="2:37" ht="20.25" customHeight="1" x14ac:dyDescent="0.3">
      <c r="B6" s="227" t="s">
        <v>318</v>
      </c>
      <c r="C6" s="523" t="s">
        <v>496</v>
      </c>
      <c r="D6" s="246">
        <f t="shared" ref="D6:D7" si="0">O88</f>
        <v>305481.48148148146</v>
      </c>
      <c r="E6" s="246">
        <f t="shared" ref="E6:E7" si="1">T88</f>
        <v>4571814.8148148153</v>
      </c>
      <c r="F6" s="246">
        <f t="shared" ref="F6:F7" si="2">Y88</f>
        <v>4808148.1481481483</v>
      </c>
      <c r="G6" s="246">
        <f t="shared" ref="G6:G7" si="3">D6+E6+F6</f>
        <v>9685444.444444444</v>
      </c>
      <c r="J6" s="254"/>
    </row>
    <row r="7" spans="2:37" ht="20.25" customHeight="1" x14ac:dyDescent="0.3">
      <c r="B7" s="227" t="s">
        <v>319</v>
      </c>
      <c r="C7" s="523" t="s">
        <v>486</v>
      </c>
      <c r="D7" s="246">
        <f t="shared" si="0"/>
        <v>2777.7777777777778</v>
      </c>
      <c r="E7" s="246">
        <f t="shared" si="1"/>
        <v>77777.777777777781</v>
      </c>
      <c r="F7" s="246">
        <f t="shared" si="2"/>
        <v>137037.03703703705</v>
      </c>
      <c r="G7" s="246">
        <f t="shared" si="3"/>
        <v>217592.59259259261</v>
      </c>
      <c r="H7" s="438"/>
      <c r="I7" s="438"/>
      <c r="J7" s="254"/>
    </row>
    <row r="8" spans="2:37" x14ac:dyDescent="0.3">
      <c r="B8" s="227"/>
      <c r="C8" s="247" t="s">
        <v>10</v>
      </c>
      <c r="D8" s="248">
        <f>D5+D6+D7</f>
        <v>604555.5555555555</v>
      </c>
      <c r="E8" s="248">
        <f t="shared" ref="E8:G8" si="4">E5+E6+E7</f>
        <v>4649592.5925925933</v>
      </c>
      <c r="F8" s="248">
        <f t="shared" si="4"/>
        <v>4945185.1851851856</v>
      </c>
      <c r="G8" s="248">
        <f t="shared" si="4"/>
        <v>10199333.333333334</v>
      </c>
      <c r="H8" s="438"/>
      <c r="I8" s="438"/>
      <c r="J8" s="533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552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</row>
    <row r="9" spans="2:37" s="252" customFormat="1" x14ac:dyDescent="0.3">
      <c r="B9" s="249"/>
      <c r="C9" s="250"/>
      <c r="D9" s="251"/>
      <c r="E9" s="251"/>
      <c r="F9" s="251"/>
      <c r="G9" s="251"/>
      <c r="H9" s="557"/>
      <c r="I9" s="557"/>
      <c r="J9" s="556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9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</row>
    <row r="10" spans="2:37" x14ac:dyDescent="0.3">
      <c r="B10" s="685" t="s">
        <v>34</v>
      </c>
      <c r="C10" s="686"/>
      <c r="D10" s="686"/>
      <c r="E10" s="686"/>
      <c r="F10" s="686"/>
      <c r="G10" s="686"/>
      <c r="H10" s="686"/>
      <c r="I10" s="686"/>
      <c r="J10" s="55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552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</row>
    <row r="11" spans="2:37" x14ac:dyDescent="0.3">
      <c r="B11" s="253"/>
      <c r="C11" s="253"/>
      <c r="D11" s="253"/>
      <c r="E11" s="253"/>
      <c r="F11" s="253"/>
      <c r="G11" s="253"/>
      <c r="H11" s="253"/>
      <c r="I11" s="554"/>
      <c r="J11" s="254"/>
      <c r="K11" s="687" t="s">
        <v>26</v>
      </c>
      <c r="L11" s="688"/>
      <c r="M11" s="688"/>
      <c r="N11" s="688"/>
      <c r="O11" s="255" t="s">
        <v>26</v>
      </c>
      <c r="P11" s="689" t="s">
        <v>27</v>
      </c>
      <c r="Q11" s="690"/>
      <c r="R11" s="690"/>
      <c r="S11" s="691"/>
      <c r="T11" s="256" t="s">
        <v>27</v>
      </c>
      <c r="U11" s="692" t="s">
        <v>28</v>
      </c>
      <c r="V11" s="693"/>
      <c r="W11" s="693"/>
      <c r="X11" s="694"/>
      <c r="Y11" s="257" t="s">
        <v>28</v>
      </c>
      <c r="Z11" s="258"/>
    </row>
    <row r="12" spans="2:37" x14ac:dyDescent="0.3">
      <c r="B12" s="253"/>
      <c r="C12" s="253"/>
      <c r="D12" s="253"/>
      <c r="E12" s="253"/>
      <c r="F12" s="253"/>
      <c r="G12" s="253"/>
      <c r="H12" s="253"/>
      <c r="I12" s="554"/>
      <c r="J12" s="254"/>
      <c r="K12" s="555" t="s">
        <v>36</v>
      </c>
      <c r="L12" s="259" t="s">
        <v>37</v>
      </c>
      <c r="M12" s="259" t="s">
        <v>38</v>
      </c>
      <c r="N12" s="259" t="s">
        <v>39</v>
      </c>
      <c r="O12" s="257" t="s">
        <v>9</v>
      </c>
      <c r="P12" s="260" t="s">
        <v>36</v>
      </c>
      <c r="Q12" s="260" t="s">
        <v>37</v>
      </c>
      <c r="R12" s="260" t="s">
        <v>38</v>
      </c>
      <c r="S12" s="260" t="s">
        <v>39</v>
      </c>
      <c r="T12" s="257" t="s">
        <v>9</v>
      </c>
      <c r="U12" s="261" t="s">
        <v>36</v>
      </c>
      <c r="V12" s="261" t="s">
        <v>37</v>
      </c>
      <c r="W12" s="261" t="s">
        <v>38</v>
      </c>
      <c r="X12" s="261" t="s">
        <v>39</v>
      </c>
      <c r="Y12" s="257" t="s">
        <v>9</v>
      </c>
      <c r="Z12" s="258" t="s">
        <v>40</v>
      </c>
    </row>
    <row r="13" spans="2:37" x14ac:dyDescent="0.3">
      <c r="B13" s="253" t="s">
        <v>317</v>
      </c>
      <c r="C13" s="695" t="s">
        <v>500</v>
      </c>
      <c r="D13" s="696"/>
      <c r="E13" s="696"/>
      <c r="F13" s="696"/>
      <c r="G13" s="696"/>
      <c r="H13" s="696"/>
      <c r="I13" s="697"/>
      <c r="J13" s="254"/>
      <c r="K13" s="263"/>
      <c r="L13" s="263"/>
      <c r="M13" s="263"/>
      <c r="N13" s="263"/>
      <c r="O13" s="257"/>
      <c r="P13" s="260"/>
      <c r="Q13" s="260"/>
      <c r="R13" s="260"/>
      <c r="S13" s="260"/>
      <c r="T13" s="257"/>
      <c r="U13" s="261"/>
      <c r="V13" s="261"/>
      <c r="W13" s="261"/>
      <c r="X13" s="261"/>
      <c r="Y13" s="257"/>
      <c r="Z13" s="258"/>
    </row>
    <row r="14" spans="2:37" x14ac:dyDescent="0.3">
      <c r="B14" s="253">
        <v>1</v>
      </c>
      <c r="C14" s="682" t="s">
        <v>320</v>
      </c>
      <c r="D14" s="683"/>
      <c r="E14" s="683"/>
      <c r="F14" s="683"/>
      <c r="G14" s="683"/>
      <c r="H14" s="683"/>
      <c r="I14" s="684"/>
      <c r="J14" s="254"/>
      <c r="K14" s="263" t="s">
        <v>143</v>
      </c>
      <c r="L14" s="263"/>
      <c r="M14" s="263"/>
      <c r="N14" s="263"/>
      <c r="O14" s="257"/>
      <c r="P14" s="260"/>
      <c r="Q14" s="260"/>
      <c r="R14" s="260"/>
      <c r="S14" s="260"/>
      <c r="T14" s="257"/>
      <c r="U14" s="261"/>
      <c r="V14" s="261"/>
      <c r="W14" s="261"/>
      <c r="X14" s="261"/>
      <c r="Y14" s="257"/>
      <c r="Z14" s="258"/>
    </row>
    <row r="15" spans="2:37" x14ac:dyDescent="0.3">
      <c r="B15" s="253">
        <v>2</v>
      </c>
      <c r="C15" s="698" t="s">
        <v>321</v>
      </c>
      <c r="D15" s="683"/>
      <c r="E15" s="683"/>
      <c r="F15" s="683"/>
      <c r="G15" s="683"/>
      <c r="H15" s="683"/>
      <c r="I15" s="684"/>
      <c r="J15" s="254"/>
      <c r="K15" s="263" t="s">
        <v>143</v>
      </c>
      <c r="L15" s="263"/>
      <c r="M15" s="263"/>
      <c r="N15" s="263"/>
      <c r="O15" s="257">
        <v>1</v>
      </c>
      <c r="P15" s="260"/>
      <c r="Q15" s="260"/>
      <c r="R15" s="260"/>
      <c r="S15" s="260"/>
      <c r="T15" s="257"/>
      <c r="U15" s="261"/>
      <c r="V15" s="261"/>
      <c r="W15" s="261"/>
      <c r="X15" s="261"/>
      <c r="Y15" s="257"/>
      <c r="Z15" s="258"/>
    </row>
    <row r="16" spans="2:37" x14ac:dyDescent="0.3">
      <c r="B16" s="253">
        <v>3</v>
      </c>
      <c r="C16" s="682" t="s">
        <v>322</v>
      </c>
      <c r="D16" s="683"/>
      <c r="E16" s="683"/>
      <c r="F16" s="683"/>
      <c r="G16" s="683"/>
      <c r="H16" s="683"/>
      <c r="I16" s="684"/>
      <c r="J16" s="254"/>
      <c r="K16" s="263"/>
      <c r="L16" s="263">
        <v>2</v>
      </c>
      <c r="M16" s="263">
        <v>4</v>
      </c>
      <c r="N16" s="263">
        <v>4</v>
      </c>
      <c r="O16" s="257">
        <v>10</v>
      </c>
      <c r="P16" s="260"/>
      <c r="Q16" s="260"/>
      <c r="R16" s="260"/>
      <c r="S16" s="260"/>
      <c r="T16" s="257"/>
      <c r="U16" s="261"/>
      <c r="V16" s="261"/>
      <c r="W16" s="261"/>
      <c r="X16" s="261"/>
      <c r="Y16" s="257"/>
      <c r="Z16" s="258">
        <v>10</v>
      </c>
    </row>
    <row r="17" spans="2:26" x14ac:dyDescent="0.3">
      <c r="B17" s="253">
        <v>4</v>
      </c>
      <c r="C17" s="682" t="s">
        <v>323</v>
      </c>
      <c r="D17" s="683"/>
      <c r="E17" s="683"/>
      <c r="F17" s="683"/>
      <c r="G17" s="683"/>
      <c r="H17" s="683"/>
      <c r="I17" s="684"/>
      <c r="J17" s="254"/>
      <c r="K17" s="263"/>
      <c r="L17" s="263">
        <v>2</v>
      </c>
      <c r="M17" s="263">
        <v>4</v>
      </c>
      <c r="N17" s="263">
        <v>4</v>
      </c>
      <c r="O17" s="257">
        <v>10</v>
      </c>
      <c r="P17" s="260"/>
      <c r="Q17" s="260"/>
      <c r="R17" s="260"/>
      <c r="S17" s="260"/>
      <c r="T17" s="257"/>
      <c r="U17" s="261"/>
      <c r="V17" s="261"/>
      <c r="W17" s="261"/>
      <c r="X17" s="261"/>
      <c r="Y17" s="257"/>
      <c r="Z17" s="258">
        <v>10</v>
      </c>
    </row>
    <row r="18" spans="2:26" x14ac:dyDescent="0.3">
      <c r="B18" s="253">
        <v>5</v>
      </c>
      <c r="C18" s="698" t="s">
        <v>490</v>
      </c>
      <c r="D18" s="683"/>
      <c r="E18" s="683"/>
      <c r="F18" s="683"/>
      <c r="G18" s="683"/>
      <c r="H18" s="683"/>
      <c r="I18" s="684"/>
      <c r="J18" s="254"/>
      <c r="K18" s="263"/>
      <c r="L18" s="263">
        <v>2</v>
      </c>
      <c r="M18" s="263">
        <v>4</v>
      </c>
      <c r="N18" s="263">
        <v>4</v>
      </c>
      <c r="O18" s="257">
        <v>10</v>
      </c>
      <c r="P18" s="260"/>
      <c r="Q18" s="260"/>
      <c r="R18" s="260"/>
      <c r="S18" s="260"/>
      <c r="T18" s="257"/>
      <c r="U18" s="261"/>
      <c r="V18" s="261"/>
      <c r="W18" s="261"/>
      <c r="X18" s="261"/>
      <c r="Y18" s="257"/>
      <c r="Z18" s="258">
        <v>10</v>
      </c>
    </row>
    <row r="19" spans="2:26" x14ac:dyDescent="0.3">
      <c r="B19" s="253"/>
      <c r="C19" s="264"/>
      <c r="D19" s="264"/>
      <c r="E19" s="264"/>
      <c r="F19" s="264"/>
      <c r="G19" s="264"/>
      <c r="H19" s="264"/>
      <c r="I19" s="264"/>
      <c r="J19" s="254"/>
      <c r="K19" s="263"/>
      <c r="L19" s="263"/>
      <c r="M19" s="263"/>
      <c r="N19" s="263"/>
      <c r="O19" s="257"/>
      <c r="P19" s="260"/>
      <c r="Q19" s="260"/>
      <c r="R19" s="260"/>
      <c r="S19" s="260"/>
      <c r="T19" s="257"/>
      <c r="U19" s="261"/>
      <c r="V19" s="261"/>
      <c r="W19" s="261"/>
      <c r="X19" s="261"/>
      <c r="Y19" s="257"/>
      <c r="Z19" s="258"/>
    </row>
    <row r="20" spans="2:26" x14ac:dyDescent="0.3">
      <c r="B20" s="253"/>
      <c r="C20" s="265"/>
      <c r="D20" s="265"/>
      <c r="E20" s="265"/>
      <c r="F20" s="265"/>
      <c r="G20" s="265"/>
      <c r="H20" s="265"/>
      <c r="I20" s="265"/>
      <c r="J20" s="254"/>
      <c r="K20" s="263"/>
      <c r="L20" s="263"/>
      <c r="M20" s="263"/>
      <c r="N20" s="263"/>
      <c r="O20" s="257"/>
      <c r="P20" s="260"/>
      <c r="Q20" s="260"/>
      <c r="R20" s="260"/>
      <c r="S20" s="260"/>
      <c r="T20" s="257"/>
      <c r="U20" s="261"/>
      <c r="V20" s="261"/>
      <c r="W20" s="261"/>
      <c r="X20" s="261"/>
      <c r="Y20" s="257"/>
      <c r="Z20" s="258"/>
    </row>
    <row r="21" spans="2:26" x14ac:dyDescent="0.3">
      <c r="B21" s="227" t="s">
        <v>318</v>
      </c>
      <c r="C21" s="695" t="s">
        <v>496</v>
      </c>
      <c r="D21" s="696"/>
      <c r="E21" s="696"/>
      <c r="F21" s="696"/>
      <c r="G21" s="696"/>
      <c r="H21" s="696"/>
      <c r="I21" s="697"/>
      <c r="J21" s="254"/>
      <c r="K21" s="263"/>
      <c r="L21" s="263"/>
      <c r="M21" s="263"/>
      <c r="N21" s="263"/>
      <c r="O21" s="257"/>
      <c r="P21" s="260"/>
      <c r="Q21" s="260"/>
      <c r="R21" s="260"/>
      <c r="S21" s="260"/>
      <c r="T21" s="257"/>
      <c r="U21" s="261"/>
      <c r="V21" s="261"/>
      <c r="W21" s="261"/>
      <c r="X21" s="261"/>
      <c r="Y21" s="257"/>
      <c r="Z21" s="258"/>
    </row>
    <row r="22" spans="2:26" x14ac:dyDescent="0.3">
      <c r="B22" s="253">
        <v>1</v>
      </c>
      <c r="C22" s="682" t="s">
        <v>325</v>
      </c>
      <c r="D22" s="683"/>
      <c r="E22" s="683"/>
      <c r="F22" s="683"/>
      <c r="G22" s="683"/>
      <c r="H22" s="683"/>
      <c r="I22" s="684"/>
      <c r="J22" s="254"/>
      <c r="K22" s="263"/>
      <c r="L22" s="263">
        <v>2</v>
      </c>
      <c r="M22" s="263"/>
      <c r="N22" s="263">
        <v>2</v>
      </c>
      <c r="O22" s="257">
        <v>4</v>
      </c>
      <c r="P22" s="260">
        <v>6</v>
      </c>
      <c r="Q22" s="260"/>
      <c r="R22" s="260"/>
      <c r="S22" s="260"/>
      <c r="T22" s="257">
        <v>10</v>
      </c>
      <c r="U22" s="261"/>
      <c r="V22" s="261"/>
      <c r="W22" s="261"/>
      <c r="X22" s="261"/>
      <c r="Y22" s="257"/>
      <c r="Z22" s="258">
        <v>10</v>
      </c>
    </row>
    <row r="23" spans="2:26" x14ac:dyDescent="0.3">
      <c r="B23" s="253">
        <v>2</v>
      </c>
      <c r="C23" s="682" t="s">
        <v>326</v>
      </c>
      <c r="D23" s="683"/>
      <c r="E23" s="683"/>
      <c r="F23" s="683"/>
      <c r="G23" s="683"/>
      <c r="H23" s="683"/>
      <c r="I23" s="684"/>
      <c r="J23" s="254"/>
      <c r="K23" s="263"/>
      <c r="L23" s="263">
        <v>2</v>
      </c>
      <c r="M23" s="263"/>
      <c r="N23" s="263">
        <v>2</v>
      </c>
      <c r="O23" s="257">
        <v>4</v>
      </c>
      <c r="P23" s="260">
        <v>6</v>
      </c>
      <c r="Q23" s="260"/>
      <c r="R23" s="260"/>
      <c r="S23" s="260"/>
      <c r="T23" s="257">
        <v>10</v>
      </c>
      <c r="U23" s="261"/>
      <c r="V23" s="261"/>
      <c r="W23" s="261"/>
      <c r="X23" s="261"/>
      <c r="Y23" s="257"/>
      <c r="Z23" s="258">
        <v>10</v>
      </c>
    </row>
    <row r="24" spans="2:26" x14ac:dyDescent="0.3">
      <c r="B24" s="253">
        <v>3</v>
      </c>
      <c r="C24" s="682" t="s">
        <v>327</v>
      </c>
      <c r="D24" s="683"/>
      <c r="E24" s="683"/>
      <c r="F24" s="683"/>
      <c r="G24" s="683"/>
      <c r="H24" s="683"/>
      <c r="I24" s="684"/>
      <c r="J24" s="254"/>
      <c r="K24" s="263"/>
      <c r="L24" s="263"/>
      <c r="M24" s="263">
        <v>2</v>
      </c>
      <c r="N24" s="263">
        <v>4</v>
      </c>
      <c r="O24" s="257">
        <v>4</v>
      </c>
      <c r="P24" s="260">
        <v>10</v>
      </c>
      <c r="Q24" s="260">
        <v>10</v>
      </c>
      <c r="R24" s="260">
        <v>10</v>
      </c>
      <c r="S24" s="260">
        <v>10</v>
      </c>
      <c r="T24" s="257">
        <v>10</v>
      </c>
      <c r="U24" s="261">
        <v>10</v>
      </c>
      <c r="V24" s="261">
        <v>10</v>
      </c>
      <c r="W24" s="261">
        <v>10</v>
      </c>
      <c r="X24" s="261"/>
      <c r="Y24" s="257">
        <v>10</v>
      </c>
      <c r="Z24" s="258">
        <v>10</v>
      </c>
    </row>
    <row r="25" spans="2:26" x14ac:dyDescent="0.3">
      <c r="B25" s="253">
        <v>4</v>
      </c>
      <c r="C25" s="682" t="s">
        <v>328</v>
      </c>
      <c r="D25" s="683"/>
      <c r="E25" s="683"/>
      <c r="F25" s="683"/>
      <c r="G25" s="683"/>
      <c r="H25" s="683"/>
      <c r="I25" s="684"/>
      <c r="J25" s="254"/>
      <c r="K25" s="263"/>
      <c r="L25" s="263"/>
      <c r="M25" s="263">
        <v>2</v>
      </c>
      <c r="N25" s="263">
        <v>2</v>
      </c>
      <c r="O25" s="257">
        <v>4</v>
      </c>
      <c r="P25" s="260">
        <v>4</v>
      </c>
      <c r="Q25" s="260">
        <v>2</v>
      </c>
      <c r="R25" s="260"/>
      <c r="S25" s="260"/>
      <c r="T25" s="257">
        <v>10</v>
      </c>
      <c r="U25" s="261"/>
      <c r="V25" s="261"/>
      <c r="W25" s="261"/>
      <c r="X25" s="261"/>
      <c r="Y25" s="257">
        <v>0</v>
      </c>
      <c r="Z25" s="258">
        <v>10</v>
      </c>
    </row>
    <row r="26" spans="2:26" x14ac:dyDescent="0.3">
      <c r="B26" s="253">
        <v>5</v>
      </c>
      <c r="C26" s="682" t="s">
        <v>329</v>
      </c>
      <c r="D26" s="683"/>
      <c r="E26" s="683"/>
      <c r="F26" s="683"/>
      <c r="G26" s="683"/>
      <c r="H26" s="683"/>
      <c r="I26" s="684"/>
      <c r="J26" s="254"/>
      <c r="K26" s="263"/>
      <c r="L26" s="263"/>
      <c r="M26" s="263"/>
      <c r="N26" s="263">
        <v>2</v>
      </c>
      <c r="O26" s="257">
        <v>2</v>
      </c>
      <c r="P26" s="260">
        <v>8</v>
      </c>
      <c r="Q26" s="260">
        <v>10</v>
      </c>
      <c r="R26" s="260">
        <v>10</v>
      </c>
      <c r="S26" s="260">
        <v>10</v>
      </c>
      <c r="T26" s="257">
        <v>10</v>
      </c>
      <c r="U26" s="261">
        <v>10</v>
      </c>
      <c r="V26" s="261">
        <v>10</v>
      </c>
      <c r="W26" s="261">
        <v>10</v>
      </c>
      <c r="X26" s="261">
        <v>10</v>
      </c>
      <c r="Y26" s="257">
        <v>10</v>
      </c>
      <c r="Z26" s="258">
        <v>10</v>
      </c>
    </row>
    <row r="27" spans="2:26" x14ac:dyDescent="0.3">
      <c r="B27" s="253">
        <v>6</v>
      </c>
      <c r="C27" s="682" t="s">
        <v>330</v>
      </c>
      <c r="D27" s="683"/>
      <c r="E27" s="683"/>
      <c r="F27" s="683"/>
      <c r="G27" s="683"/>
      <c r="H27" s="683"/>
      <c r="I27" s="684"/>
      <c r="J27" s="254"/>
      <c r="K27" s="263"/>
      <c r="L27" s="263"/>
      <c r="M27" s="263"/>
      <c r="N27" s="263">
        <v>2</v>
      </c>
      <c r="O27" s="257">
        <v>2</v>
      </c>
      <c r="P27" s="260">
        <v>4</v>
      </c>
      <c r="Q27" s="260">
        <v>10</v>
      </c>
      <c r="R27" s="260"/>
      <c r="S27" s="260"/>
      <c r="T27" s="257">
        <v>8</v>
      </c>
      <c r="U27" s="261"/>
      <c r="V27" s="261"/>
      <c r="W27" s="261"/>
      <c r="X27" s="261"/>
      <c r="Y27" s="257">
        <v>0</v>
      </c>
      <c r="Z27" s="258">
        <v>10</v>
      </c>
    </row>
    <row r="28" spans="2:26" x14ac:dyDescent="0.3">
      <c r="B28" s="253">
        <v>7</v>
      </c>
      <c r="C28" s="682" t="s">
        <v>331</v>
      </c>
      <c r="D28" s="683"/>
      <c r="E28" s="683"/>
      <c r="F28" s="683"/>
      <c r="G28" s="683"/>
      <c r="H28" s="683"/>
      <c r="I28" s="684"/>
      <c r="J28" s="254"/>
      <c r="K28" s="263"/>
      <c r="L28" s="263"/>
      <c r="M28" s="263">
        <v>2</v>
      </c>
      <c r="N28" s="263">
        <v>2</v>
      </c>
      <c r="O28" s="257">
        <v>4</v>
      </c>
      <c r="P28" s="260">
        <v>8</v>
      </c>
      <c r="Q28" s="260">
        <v>10</v>
      </c>
      <c r="R28" s="260">
        <v>10</v>
      </c>
      <c r="S28" s="260">
        <v>10</v>
      </c>
      <c r="T28" s="257">
        <v>10</v>
      </c>
      <c r="U28" s="261">
        <v>10</v>
      </c>
      <c r="V28" s="261">
        <v>10</v>
      </c>
      <c r="W28" s="261">
        <v>10</v>
      </c>
      <c r="X28" s="261"/>
      <c r="Y28" s="257">
        <v>10</v>
      </c>
      <c r="Z28" s="258">
        <v>10</v>
      </c>
    </row>
    <row r="29" spans="2:26" x14ac:dyDescent="0.3">
      <c r="B29" s="253">
        <v>8</v>
      </c>
      <c r="C29" s="682" t="s">
        <v>332</v>
      </c>
      <c r="D29" s="683"/>
      <c r="E29" s="683"/>
      <c r="F29" s="683"/>
      <c r="G29" s="683"/>
      <c r="H29" s="683"/>
      <c r="I29" s="684"/>
      <c r="J29" s="254"/>
      <c r="K29" s="263"/>
      <c r="L29" s="263"/>
      <c r="M29" s="263">
        <v>2</v>
      </c>
      <c r="N29" s="263">
        <v>2</v>
      </c>
      <c r="O29" s="257">
        <v>4</v>
      </c>
      <c r="P29" s="260">
        <v>8</v>
      </c>
      <c r="Q29" s="260">
        <v>10</v>
      </c>
      <c r="R29" s="260">
        <v>10</v>
      </c>
      <c r="S29" s="260">
        <v>10</v>
      </c>
      <c r="T29" s="257">
        <v>10</v>
      </c>
      <c r="U29" s="261">
        <v>10</v>
      </c>
      <c r="V29" s="261">
        <v>10</v>
      </c>
      <c r="W29" s="261">
        <v>10</v>
      </c>
      <c r="X29" s="261">
        <v>10</v>
      </c>
      <c r="Y29" s="257">
        <v>10</v>
      </c>
      <c r="Z29" s="258">
        <v>10</v>
      </c>
    </row>
    <row r="30" spans="2:26" x14ac:dyDescent="0.3">
      <c r="B30" s="253">
        <v>9</v>
      </c>
      <c r="C30" s="682" t="s">
        <v>333</v>
      </c>
      <c r="D30" s="683"/>
      <c r="E30" s="683"/>
      <c r="F30" s="683"/>
      <c r="G30" s="683"/>
      <c r="H30" s="683"/>
      <c r="I30" s="684"/>
      <c r="J30" s="254"/>
      <c r="K30" s="263"/>
      <c r="L30" s="263"/>
      <c r="M30" s="263"/>
      <c r="N30" s="263">
        <v>4</v>
      </c>
      <c r="O30" s="257">
        <v>4</v>
      </c>
      <c r="P30" s="260">
        <v>8</v>
      </c>
      <c r="Q30" s="260">
        <v>10</v>
      </c>
      <c r="R30" s="260">
        <v>10</v>
      </c>
      <c r="S30" s="260">
        <v>10</v>
      </c>
      <c r="T30" s="257">
        <v>10</v>
      </c>
      <c r="U30" s="261">
        <v>10</v>
      </c>
      <c r="V30" s="261">
        <v>10</v>
      </c>
      <c r="W30" s="261">
        <v>10</v>
      </c>
      <c r="X30" s="261"/>
      <c r="Y30" s="257">
        <v>10</v>
      </c>
      <c r="Z30" s="258">
        <v>10</v>
      </c>
    </row>
    <row r="31" spans="2:26" x14ac:dyDescent="0.3">
      <c r="B31" s="253">
        <v>10</v>
      </c>
      <c r="C31" s="682" t="s">
        <v>334</v>
      </c>
      <c r="D31" s="683"/>
      <c r="E31" s="683"/>
      <c r="F31" s="683"/>
      <c r="G31" s="683"/>
      <c r="H31" s="683"/>
      <c r="I31" s="684"/>
      <c r="J31" s="254"/>
      <c r="K31" s="263"/>
      <c r="L31" s="263"/>
      <c r="M31" s="263"/>
      <c r="N31" s="263"/>
      <c r="O31" s="257">
        <v>0</v>
      </c>
      <c r="P31" s="260"/>
      <c r="Q31" s="260">
        <v>2</v>
      </c>
      <c r="R31" s="260">
        <v>4</v>
      </c>
      <c r="S31" s="260">
        <v>4</v>
      </c>
      <c r="T31" s="257">
        <v>10</v>
      </c>
      <c r="U31" s="261"/>
      <c r="V31" s="261">
        <v>5</v>
      </c>
      <c r="W31" s="261">
        <v>5</v>
      </c>
      <c r="X31" s="261"/>
      <c r="Y31" s="257">
        <v>10</v>
      </c>
      <c r="Z31" s="258">
        <v>10</v>
      </c>
    </row>
    <row r="32" spans="2:26" x14ac:dyDescent="0.3">
      <c r="B32" s="253"/>
      <c r="C32" s="265"/>
      <c r="D32" s="265"/>
      <c r="E32" s="265"/>
      <c r="F32" s="265"/>
      <c r="G32" s="265"/>
      <c r="H32" s="265"/>
      <c r="I32" s="265"/>
      <c r="J32" s="254"/>
      <c r="K32" s="263"/>
      <c r="L32" s="263"/>
      <c r="M32" s="263"/>
      <c r="N32" s="263"/>
      <c r="O32" s="257"/>
      <c r="P32" s="260"/>
      <c r="Q32" s="260"/>
      <c r="R32" s="260"/>
      <c r="S32" s="260"/>
      <c r="T32" s="257"/>
      <c r="U32" s="261"/>
      <c r="V32" s="261"/>
      <c r="W32" s="261"/>
      <c r="X32" s="261"/>
      <c r="Y32" s="257"/>
      <c r="Z32" s="258"/>
    </row>
    <row r="33" spans="2:26" x14ac:dyDescent="0.3">
      <c r="B33" s="227" t="s">
        <v>319</v>
      </c>
      <c r="C33" s="695" t="s">
        <v>486</v>
      </c>
      <c r="D33" s="696"/>
      <c r="E33" s="696"/>
      <c r="F33" s="696"/>
      <c r="G33" s="696"/>
      <c r="H33" s="696"/>
      <c r="I33" s="697"/>
      <c r="J33" s="254"/>
      <c r="K33" s="263"/>
      <c r="L33" s="263"/>
      <c r="M33" s="263"/>
      <c r="N33" s="263"/>
      <c r="O33" s="257"/>
      <c r="P33" s="260"/>
      <c r="Q33" s="260"/>
      <c r="R33" s="260"/>
      <c r="S33" s="260"/>
      <c r="T33" s="257"/>
      <c r="U33" s="261"/>
      <c r="V33" s="261"/>
      <c r="W33" s="261"/>
      <c r="X33" s="261"/>
      <c r="Y33" s="257"/>
      <c r="Z33" s="258"/>
    </row>
    <row r="34" spans="2:26" x14ac:dyDescent="0.3">
      <c r="B34" s="253">
        <v>1</v>
      </c>
      <c r="C34" s="682" t="s">
        <v>335</v>
      </c>
      <c r="D34" s="683"/>
      <c r="E34" s="683"/>
      <c r="F34" s="683"/>
      <c r="G34" s="683"/>
      <c r="H34" s="683"/>
      <c r="I34" s="684"/>
      <c r="J34" s="254"/>
      <c r="K34" s="263"/>
      <c r="L34" s="263"/>
      <c r="M34" s="263"/>
      <c r="N34" s="263">
        <v>1</v>
      </c>
      <c r="O34" s="257">
        <v>1</v>
      </c>
      <c r="P34" s="260">
        <v>1</v>
      </c>
      <c r="Q34" s="260"/>
      <c r="R34" s="260">
        <v>1</v>
      </c>
      <c r="S34" s="260">
        <v>1</v>
      </c>
      <c r="T34" s="257" t="s">
        <v>336</v>
      </c>
      <c r="U34" s="261">
        <v>1</v>
      </c>
      <c r="V34" s="261"/>
      <c r="W34" s="261"/>
      <c r="X34" s="261"/>
      <c r="Y34" s="257"/>
      <c r="Z34" s="258"/>
    </row>
    <row r="35" spans="2:26" x14ac:dyDescent="0.3">
      <c r="B35" s="253">
        <v>2</v>
      </c>
      <c r="C35" s="682" t="s">
        <v>337</v>
      </c>
      <c r="D35" s="683"/>
      <c r="E35" s="683"/>
      <c r="F35" s="683"/>
      <c r="G35" s="683"/>
      <c r="H35" s="683"/>
      <c r="I35" s="684"/>
      <c r="J35" s="254"/>
      <c r="K35" s="263"/>
      <c r="L35" s="263"/>
      <c r="M35" s="263"/>
      <c r="N35" s="263"/>
      <c r="O35" s="257"/>
      <c r="P35" s="260">
        <v>1</v>
      </c>
      <c r="Q35" s="260"/>
      <c r="R35" s="260"/>
      <c r="S35" s="260">
        <v>1</v>
      </c>
      <c r="T35" s="257"/>
      <c r="U35" s="261">
        <v>1</v>
      </c>
      <c r="V35" s="261"/>
      <c r="W35" s="261"/>
      <c r="X35" s="261"/>
      <c r="Y35" s="257"/>
      <c r="Z35" s="258"/>
    </row>
    <row r="36" spans="2:26" x14ac:dyDescent="0.3">
      <c r="B36" s="253">
        <v>3</v>
      </c>
      <c r="C36" s="682" t="s">
        <v>338</v>
      </c>
      <c r="D36" s="683"/>
      <c r="E36" s="683"/>
      <c r="F36" s="683"/>
      <c r="G36" s="683"/>
      <c r="H36" s="683"/>
      <c r="I36" s="684"/>
      <c r="J36" s="254"/>
      <c r="K36" s="263"/>
      <c r="L36" s="263"/>
      <c r="M36" s="263"/>
      <c r="N36" s="263"/>
      <c r="O36" s="257"/>
      <c r="P36" s="260"/>
      <c r="Q36" s="260"/>
      <c r="R36" s="260"/>
      <c r="S36" s="260"/>
      <c r="T36" s="257"/>
      <c r="U36" s="261">
        <v>1</v>
      </c>
      <c r="V36" s="261"/>
      <c r="W36" s="261"/>
      <c r="X36" s="261"/>
      <c r="Y36" s="257"/>
      <c r="Z36" s="258"/>
    </row>
    <row r="37" spans="2:26" x14ac:dyDescent="0.3">
      <c r="B37" s="253">
        <v>4</v>
      </c>
      <c r="C37" s="682" t="s">
        <v>339</v>
      </c>
      <c r="D37" s="683"/>
      <c r="E37" s="683"/>
      <c r="F37" s="683"/>
      <c r="G37" s="683"/>
      <c r="H37" s="683"/>
      <c r="I37" s="684"/>
      <c r="J37" s="254"/>
      <c r="K37" s="263"/>
      <c r="L37" s="263"/>
      <c r="M37" s="263"/>
      <c r="N37" s="263"/>
      <c r="O37" s="257"/>
      <c r="P37" s="260"/>
      <c r="Q37" s="260"/>
      <c r="R37" s="260"/>
      <c r="S37" s="260"/>
      <c r="T37" s="257"/>
      <c r="U37" s="261">
        <v>1</v>
      </c>
      <c r="V37" s="261"/>
      <c r="W37" s="261"/>
      <c r="X37" s="261"/>
      <c r="Y37" s="257"/>
      <c r="Z37" s="258"/>
    </row>
    <row r="38" spans="2:26" x14ac:dyDescent="0.3">
      <c r="B38" s="253">
        <v>5</v>
      </c>
      <c r="C38" s="682" t="s">
        <v>340</v>
      </c>
      <c r="D38" s="683"/>
      <c r="E38" s="683"/>
      <c r="F38" s="683"/>
      <c r="G38" s="683"/>
      <c r="H38" s="683"/>
      <c r="I38" s="684"/>
      <c r="J38" s="254"/>
      <c r="K38" s="263"/>
      <c r="L38" s="263"/>
      <c r="M38" s="263"/>
      <c r="N38" s="263"/>
      <c r="O38" s="257"/>
      <c r="P38" s="260"/>
      <c r="Q38" s="260"/>
      <c r="R38" s="260"/>
      <c r="S38" s="260"/>
      <c r="T38" s="257"/>
      <c r="U38" s="261"/>
      <c r="V38" s="261">
        <v>1</v>
      </c>
      <c r="W38" s="261"/>
      <c r="X38" s="261"/>
      <c r="Y38" s="257">
        <v>10</v>
      </c>
      <c r="Z38" s="258"/>
    </row>
    <row r="39" spans="2:26" x14ac:dyDescent="0.3">
      <c r="B39" s="253">
        <v>6</v>
      </c>
      <c r="C39" s="682" t="s">
        <v>341</v>
      </c>
      <c r="D39" s="683"/>
      <c r="E39" s="683"/>
      <c r="F39" s="683"/>
      <c r="G39" s="683"/>
      <c r="H39" s="683"/>
      <c r="I39" s="684"/>
      <c r="J39" s="254"/>
      <c r="K39" s="263"/>
      <c r="L39" s="263"/>
      <c r="M39" s="263"/>
      <c r="N39" s="263"/>
      <c r="O39" s="257"/>
      <c r="P39" s="260"/>
      <c r="Q39" s="260"/>
      <c r="R39" s="260"/>
      <c r="S39" s="260"/>
      <c r="T39" s="257"/>
      <c r="U39" s="261"/>
      <c r="V39" s="261">
        <v>1</v>
      </c>
      <c r="W39" s="261"/>
      <c r="X39" s="261"/>
      <c r="Y39" s="257">
        <v>1</v>
      </c>
      <c r="Z39" s="258"/>
    </row>
    <row r="40" spans="2:26" x14ac:dyDescent="0.3">
      <c r="B40" s="253">
        <v>7</v>
      </c>
      <c r="C40" s="682" t="s">
        <v>342</v>
      </c>
      <c r="D40" s="683"/>
      <c r="E40" s="683"/>
      <c r="F40" s="683"/>
      <c r="G40" s="683"/>
      <c r="H40" s="683"/>
      <c r="I40" s="684"/>
      <c r="J40" s="254"/>
      <c r="K40" s="263"/>
      <c r="L40" s="263"/>
      <c r="M40" s="263"/>
      <c r="N40" s="263"/>
      <c r="O40" s="257"/>
      <c r="P40" s="260"/>
      <c r="Q40" s="260"/>
      <c r="R40" s="260"/>
      <c r="S40" s="260"/>
      <c r="T40" s="257"/>
      <c r="U40" s="261"/>
      <c r="V40" s="261"/>
      <c r="W40" s="261">
        <v>1</v>
      </c>
      <c r="X40" s="261"/>
      <c r="Y40" s="257">
        <v>1</v>
      </c>
      <c r="Z40" s="258"/>
    </row>
    <row r="41" spans="2:26" x14ac:dyDescent="0.3">
      <c r="B41" s="253">
        <v>8</v>
      </c>
      <c r="C41" s="682" t="s">
        <v>343</v>
      </c>
      <c r="D41" s="683"/>
      <c r="E41" s="683"/>
      <c r="F41" s="683"/>
      <c r="G41" s="683"/>
      <c r="H41" s="683"/>
      <c r="I41" s="684"/>
      <c r="J41" s="254"/>
      <c r="K41" s="263"/>
      <c r="L41" s="263"/>
      <c r="M41" s="263"/>
      <c r="N41" s="263"/>
      <c r="O41" s="257"/>
      <c r="P41" s="260"/>
      <c r="Q41" s="260"/>
      <c r="R41" s="260"/>
      <c r="S41" s="260"/>
      <c r="T41" s="257"/>
      <c r="U41" s="261"/>
      <c r="V41" s="261"/>
      <c r="W41" s="261">
        <v>1</v>
      </c>
      <c r="X41" s="261"/>
      <c r="Y41" s="257">
        <v>1</v>
      </c>
      <c r="Z41" s="258"/>
    </row>
    <row r="44" spans="2:26" x14ac:dyDescent="0.3">
      <c r="B44" s="699" t="str">
        <f>C5</f>
        <v>Design a business model in detail with exact roles and responsibilities defined for outsourced agency and government officials</v>
      </c>
      <c r="C44" s="700"/>
      <c r="D44" s="700"/>
      <c r="E44" s="700"/>
      <c r="F44" s="700"/>
      <c r="G44" s="700"/>
      <c r="H44" s="700"/>
      <c r="I44" s="701"/>
      <c r="K44" s="702" t="s">
        <v>26</v>
      </c>
      <c r="L44" s="702"/>
      <c r="M44" s="702"/>
      <c r="N44" s="702"/>
      <c r="O44" s="266" t="str">
        <f>O11</f>
        <v>Year 1</v>
      </c>
      <c r="P44" s="703" t="s">
        <v>27</v>
      </c>
      <c r="Q44" s="703"/>
      <c r="R44" s="703"/>
      <c r="S44" s="703"/>
      <c r="T44" s="267" t="str">
        <f>T11</f>
        <v>Year 2</v>
      </c>
      <c r="U44" s="703" t="s">
        <v>28</v>
      </c>
      <c r="V44" s="703"/>
      <c r="W44" s="703"/>
      <c r="X44" s="703"/>
      <c r="Y44" s="268" t="str">
        <f>Y11</f>
        <v>Year 3</v>
      </c>
      <c r="Z44" s="258" t="s">
        <v>19</v>
      </c>
    </row>
    <row r="45" spans="2:26" x14ac:dyDescent="0.3">
      <c r="B45" s="269"/>
      <c r="C45" s="253"/>
      <c r="D45" s="253" t="s">
        <v>50</v>
      </c>
      <c r="E45" s="253" t="s">
        <v>51</v>
      </c>
      <c r="F45" s="253" t="s">
        <v>52</v>
      </c>
      <c r="G45" s="253" t="s">
        <v>53</v>
      </c>
      <c r="H45" s="253" t="s">
        <v>54</v>
      </c>
      <c r="I45" s="253" t="s">
        <v>55</v>
      </c>
      <c r="K45" s="253" t="s">
        <v>36</v>
      </c>
      <c r="L45" s="253" t="s">
        <v>37</v>
      </c>
      <c r="M45" s="253" t="s">
        <v>38</v>
      </c>
      <c r="N45" s="253" t="s">
        <v>39</v>
      </c>
      <c r="O45" s="268" t="str">
        <f>O12</f>
        <v>Total</v>
      </c>
      <c r="P45" s="268" t="s">
        <v>36</v>
      </c>
      <c r="Q45" s="268" t="s">
        <v>37</v>
      </c>
      <c r="R45" s="268" t="s">
        <v>38</v>
      </c>
      <c r="S45" s="268" t="s">
        <v>39</v>
      </c>
      <c r="T45" s="268" t="s">
        <v>9</v>
      </c>
      <c r="U45" s="268" t="s">
        <v>36</v>
      </c>
      <c r="V45" s="268" t="s">
        <v>37</v>
      </c>
      <c r="W45" s="268" t="s">
        <v>38</v>
      </c>
      <c r="X45" s="268" t="s">
        <v>39</v>
      </c>
      <c r="Y45" s="268" t="s">
        <v>9</v>
      </c>
      <c r="Z45" s="258"/>
    </row>
    <row r="46" spans="2:26" ht="28.8" x14ac:dyDescent="0.3">
      <c r="B46" s="253" t="s">
        <v>317</v>
      </c>
      <c r="C46" s="523" t="s">
        <v>485</v>
      </c>
      <c r="D46" s="253"/>
      <c r="E46" s="253"/>
      <c r="F46" s="253"/>
      <c r="G46" s="253"/>
      <c r="H46" s="253"/>
      <c r="I46" s="253"/>
      <c r="K46" s="253"/>
      <c r="L46" s="253"/>
      <c r="M46" s="253"/>
      <c r="N46" s="253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58"/>
    </row>
    <row r="47" spans="2:26" x14ac:dyDescent="0.3">
      <c r="B47" s="253">
        <f>B14</f>
        <v>1</v>
      </c>
      <c r="C47" s="253" t="s">
        <v>320</v>
      </c>
      <c r="D47" s="253">
        <v>0</v>
      </c>
      <c r="E47" s="253">
        <v>0</v>
      </c>
      <c r="F47" s="253">
        <v>0</v>
      </c>
      <c r="G47" s="271">
        <v>1</v>
      </c>
      <c r="H47" s="253">
        <f>D47*E47*F47*G47</f>
        <v>0</v>
      </c>
      <c r="I47" s="253">
        <f>H47/54</f>
        <v>0</v>
      </c>
      <c r="K47" s="253"/>
      <c r="L47" s="253"/>
      <c r="M47" s="253"/>
      <c r="N47" s="253"/>
      <c r="O47" s="272">
        <f>K47+L47+M47+N47</f>
        <v>0</v>
      </c>
      <c r="P47" s="270"/>
      <c r="Q47" s="270"/>
      <c r="R47" s="270"/>
      <c r="S47" s="270"/>
      <c r="T47" s="270">
        <f>P47+Q47+R47+S47</f>
        <v>0</v>
      </c>
      <c r="U47" s="270"/>
      <c r="V47" s="270"/>
      <c r="W47" s="270"/>
      <c r="X47" s="270"/>
      <c r="Y47" s="270">
        <f>U47+V47+W47+X47</f>
        <v>0</v>
      </c>
      <c r="Z47" s="273">
        <f>O47+T47+Y47</f>
        <v>0</v>
      </c>
    </row>
    <row r="48" spans="2:26" x14ac:dyDescent="0.3">
      <c r="B48" s="253">
        <f t="shared" ref="B48:B51" si="5">B15</f>
        <v>2</v>
      </c>
      <c r="C48" s="253" t="s">
        <v>321</v>
      </c>
      <c r="D48" s="253">
        <v>0</v>
      </c>
      <c r="E48" s="253">
        <v>0</v>
      </c>
      <c r="F48" s="253">
        <v>0</v>
      </c>
      <c r="G48" s="271">
        <v>1</v>
      </c>
      <c r="H48" s="253">
        <f>D48*E48*F48*G48</f>
        <v>0</v>
      </c>
      <c r="I48" s="253">
        <f>H48/54</f>
        <v>0</v>
      </c>
      <c r="K48" s="253"/>
      <c r="L48" s="253"/>
      <c r="M48" s="253"/>
      <c r="N48" s="253"/>
      <c r="O48" s="272">
        <f t="shared" ref="O48:O52" si="6">K48+L48+M48+N48</f>
        <v>0</v>
      </c>
      <c r="P48" s="270"/>
      <c r="Q48" s="270"/>
      <c r="R48" s="270"/>
      <c r="S48" s="270"/>
      <c r="T48" s="270">
        <f t="shared" ref="T48:T51" si="7">P48+Q48+R48+S48</f>
        <v>0</v>
      </c>
      <c r="U48" s="270"/>
      <c r="V48" s="270"/>
      <c r="W48" s="270"/>
      <c r="X48" s="270"/>
      <c r="Y48" s="270">
        <f t="shared" ref="Y48:Y52" si="8">U48+V48+W48+X48</f>
        <v>0</v>
      </c>
      <c r="Z48" s="273">
        <f t="shared" ref="Z48:Z52" si="9">O48+T48+Y48</f>
        <v>0</v>
      </c>
    </row>
    <row r="49" spans="2:26" x14ac:dyDescent="0.3">
      <c r="B49" s="253">
        <f t="shared" si="5"/>
        <v>3</v>
      </c>
      <c r="C49" s="253" t="s">
        <v>322</v>
      </c>
      <c r="D49" s="274">
        <v>100000</v>
      </c>
      <c r="E49" s="253">
        <v>1</v>
      </c>
      <c r="F49" s="253">
        <v>1</v>
      </c>
      <c r="G49" s="271">
        <v>1</v>
      </c>
      <c r="H49" s="253">
        <f>D49*E49*F49*G49</f>
        <v>100000</v>
      </c>
      <c r="I49" s="275">
        <f>H49/54</f>
        <v>1851.851851851852</v>
      </c>
      <c r="K49" s="253"/>
      <c r="L49" s="274">
        <f>I49*L16</f>
        <v>3703.7037037037039</v>
      </c>
      <c r="M49" s="275">
        <f>I49*M16</f>
        <v>7407.4074074074078</v>
      </c>
      <c r="N49" s="275">
        <f>I49*N16</f>
        <v>7407.4074074074078</v>
      </c>
      <c r="O49" s="272">
        <f t="shared" si="6"/>
        <v>18518.518518518518</v>
      </c>
      <c r="P49" s="270"/>
      <c r="Q49" s="270"/>
      <c r="R49" s="270"/>
      <c r="S49" s="270"/>
      <c r="T49" s="270">
        <f t="shared" si="7"/>
        <v>0</v>
      </c>
      <c r="U49" s="270"/>
      <c r="V49" s="270"/>
      <c r="W49" s="270"/>
      <c r="X49" s="270"/>
      <c r="Y49" s="270">
        <f t="shared" si="8"/>
        <v>0</v>
      </c>
      <c r="Z49" s="273">
        <f t="shared" si="9"/>
        <v>18518.518518518518</v>
      </c>
    </row>
    <row r="50" spans="2:26" x14ac:dyDescent="0.3">
      <c r="B50" s="253">
        <f t="shared" si="5"/>
        <v>4</v>
      </c>
      <c r="C50" s="253" t="s">
        <v>323</v>
      </c>
      <c r="D50" s="274">
        <v>500000</v>
      </c>
      <c r="E50" s="253">
        <v>1</v>
      </c>
      <c r="F50" s="253">
        <v>1</v>
      </c>
      <c r="G50" s="271">
        <v>1</v>
      </c>
      <c r="H50" s="253">
        <v>500000</v>
      </c>
      <c r="I50" s="275">
        <f>H50/54</f>
        <v>9259.2592592592591</v>
      </c>
      <c r="K50" s="253"/>
      <c r="L50" s="274">
        <f>I50*L17</f>
        <v>18518.518518518518</v>
      </c>
      <c r="M50" s="275">
        <f>I50*M17</f>
        <v>37037.037037037036</v>
      </c>
      <c r="N50" s="275">
        <f>I50*N17</f>
        <v>37037.037037037036</v>
      </c>
      <c r="O50" s="272">
        <f t="shared" si="6"/>
        <v>92592.592592592584</v>
      </c>
      <c r="P50" s="270"/>
      <c r="Q50" s="270"/>
      <c r="R50" s="270"/>
      <c r="S50" s="270"/>
      <c r="T50" s="270">
        <f t="shared" si="7"/>
        <v>0</v>
      </c>
      <c r="U50" s="270"/>
      <c r="V50" s="270"/>
      <c r="W50" s="270"/>
      <c r="X50" s="270"/>
      <c r="Y50" s="270">
        <f t="shared" si="8"/>
        <v>0</v>
      </c>
      <c r="Z50" s="273">
        <f t="shared" si="9"/>
        <v>92592.592592592584</v>
      </c>
    </row>
    <row r="51" spans="2:26" x14ac:dyDescent="0.3">
      <c r="B51" s="253">
        <f t="shared" si="5"/>
        <v>5</v>
      </c>
      <c r="C51" s="253" t="s">
        <v>324</v>
      </c>
      <c r="D51" s="274">
        <v>1000000</v>
      </c>
      <c r="E51" s="253">
        <v>1</v>
      </c>
      <c r="F51" s="253">
        <v>1</v>
      </c>
      <c r="G51" s="271">
        <v>1</v>
      </c>
      <c r="H51" s="276">
        <f>D51*E51*F51*G51</f>
        <v>1000000</v>
      </c>
      <c r="I51" s="276">
        <f>H51/54</f>
        <v>18518.518518518518</v>
      </c>
      <c r="J51" s="438"/>
      <c r="K51" s="253"/>
      <c r="L51" s="274">
        <f>I51*L18</f>
        <v>37037.037037037036</v>
      </c>
      <c r="M51" s="275">
        <f>I51*M18</f>
        <v>74074.074074074073</v>
      </c>
      <c r="N51" s="275">
        <f>I51*N18</f>
        <v>74074.074074074073</v>
      </c>
      <c r="O51" s="272">
        <f t="shared" si="6"/>
        <v>185185.18518518517</v>
      </c>
      <c r="P51" s="270"/>
      <c r="Q51" s="270"/>
      <c r="R51" s="270"/>
      <c r="S51" s="270"/>
      <c r="T51" s="270">
        <f t="shared" si="7"/>
        <v>0</v>
      </c>
      <c r="U51" s="270"/>
      <c r="V51" s="270"/>
      <c r="W51" s="270"/>
      <c r="X51" s="270"/>
      <c r="Y51" s="270">
        <f t="shared" si="8"/>
        <v>0</v>
      </c>
      <c r="Z51" s="273">
        <f t="shared" si="9"/>
        <v>185185.18518518517</v>
      </c>
    </row>
    <row r="52" spans="2:26" x14ac:dyDescent="0.3">
      <c r="B52" s="277"/>
      <c r="C52" s="277" t="s">
        <v>56</v>
      </c>
      <c r="D52" s="277"/>
      <c r="E52" s="277"/>
      <c r="F52" s="277"/>
      <c r="G52" s="277"/>
      <c r="H52" s="277"/>
      <c r="I52" s="278">
        <f>I47+I48+I49+I50+I51</f>
        <v>29629.629629629628</v>
      </c>
      <c r="J52" s="438"/>
      <c r="K52" s="277"/>
      <c r="L52" s="278">
        <f>L49+L50+L51</f>
        <v>59259.259259259255</v>
      </c>
      <c r="M52" s="278">
        <f t="shared" ref="M52:N52" si="10">M49+M50+M51</f>
        <v>118518.51851851851</v>
      </c>
      <c r="N52" s="278">
        <f t="shared" si="10"/>
        <v>118518.51851851851</v>
      </c>
      <c r="O52" s="280">
        <f t="shared" si="6"/>
        <v>296296.29629629629</v>
      </c>
      <c r="P52" s="277"/>
      <c r="Q52" s="277"/>
      <c r="R52" s="277"/>
      <c r="S52" s="277"/>
      <c r="T52" s="277">
        <f>T47+T48+T49+T50+T51</f>
        <v>0</v>
      </c>
      <c r="U52" s="277"/>
      <c r="V52" s="277"/>
      <c r="W52" s="277"/>
      <c r="X52" s="277"/>
      <c r="Y52" s="277">
        <f t="shared" si="8"/>
        <v>0</v>
      </c>
      <c r="Z52" s="273">
        <f t="shared" si="9"/>
        <v>296296.29629629629</v>
      </c>
    </row>
    <row r="53" spans="2:26" x14ac:dyDescent="0.3">
      <c r="J53" s="438"/>
    </row>
    <row r="54" spans="2:26" x14ac:dyDescent="0.3">
      <c r="B54" s="699" t="str">
        <f>C6</f>
        <v>Pilot and evaluate the model in 10 low performing districts</v>
      </c>
      <c r="C54" s="700"/>
      <c r="D54" s="700"/>
      <c r="E54" s="700"/>
      <c r="F54" s="700"/>
      <c r="G54" s="700"/>
      <c r="H54" s="700"/>
      <c r="I54" s="701"/>
      <c r="J54" s="438"/>
      <c r="K54" s="704" t="s">
        <v>26</v>
      </c>
      <c r="L54" s="704"/>
      <c r="M54" s="704"/>
      <c r="N54" s="704"/>
      <c r="O54" s="281" t="str">
        <f>O44</f>
        <v>Year 1</v>
      </c>
      <c r="P54" s="705" t="s">
        <v>27</v>
      </c>
      <c r="Q54" s="705"/>
      <c r="R54" s="705"/>
      <c r="S54" s="705"/>
      <c r="T54" s="281" t="str">
        <f>T44</f>
        <v>Year 2</v>
      </c>
      <c r="U54" s="705" t="s">
        <v>28</v>
      </c>
      <c r="V54" s="705"/>
      <c r="W54" s="705"/>
      <c r="X54" s="705"/>
      <c r="Y54" s="281" t="str">
        <f>Y44</f>
        <v>Year 3</v>
      </c>
      <c r="Z54" s="282" t="s">
        <v>19</v>
      </c>
    </row>
    <row r="55" spans="2:26" x14ac:dyDescent="0.3">
      <c r="B55" s="253"/>
      <c r="C55" s="253"/>
      <c r="D55" s="253" t="s">
        <v>50</v>
      </c>
      <c r="E55" s="253" t="s">
        <v>51</v>
      </c>
      <c r="F55" s="253" t="s">
        <v>52</v>
      </c>
      <c r="G55" s="253" t="s">
        <v>53</v>
      </c>
      <c r="H55" s="253" t="s">
        <v>54</v>
      </c>
      <c r="I55" s="253" t="s">
        <v>55</v>
      </c>
      <c r="J55" s="438"/>
      <c r="K55" s="274" t="s">
        <v>36</v>
      </c>
      <c r="L55" s="274" t="s">
        <v>37</v>
      </c>
      <c r="M55" s="274" t="s">
        <v>38</v>
      </c>
      <c r="N55" s="274" t="s">
        <v>39</v>
      </c>
      <c r="O55" s="281" t="s">
        <v>9</v>
      </c>
      <c r="P55" s="281" t="s">
        <v>36</v>
      </c>
      <c r="Q55" s="281" t="s">
        <v>37</v>
      </c>
      <c r="R55" s="281" t="s">
        <v>38</v>
      </c>
      <c r="S55" s="281" t="s">
        <v>39</v>
      </c>
      <c r="T55" s="281" t="s">
        <v>9</v>
      </c>
      <c r="U55" s="281" t="s">
        <v>36</v>
      </c>
      <c r="V55" s="281" t="s">
        <v>37</v>
      </c>
      <c r="W55" s="281" t="s">
        <v>38</v>
      </c>
      <c r="X55" s="281" t="s">
        <v>39</v>
      </c>
      <c r="Y55" s="281" t="s">
        <v>9</v>
      </c>
      <c r="Z55" s="282"/>
    </row>
    <row r="56" spans="2:26" x14ac:dyDescent="0.3">
      <c r="B56" s="253" t="s">
        <v>318</v>
      </c>
      <c r="C56" s="523" t="s">
        <v>496</v>
      </c>
      <c r="D56" s="253"/>
      <c r="E56" s="253"/>
      <c r="F56" s="253"/>
      <c r="G56" s="253"/>
      <c r="H56" s="253"/>
      <c r="I56" s="253"/>
      <c r="J56" s="438"/>
      <c r="K56" s="274"/>
      <c r="L56" s="274"/>
      <c r="M56" s="274"/>
      <c r="N56" s="274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2"/>
    </row>
    <row r="57" spans="2:26" x14ac:dyDescent="0.3">
      <c r="B57" s="253">
        <f>B22</f>
        <v>1</v>
      </c>
      <c r="C57" s="253" t="s">
        <v>325</v>
      </c>
      <c r="D57" s="274">
        <v>50000</v>
      </c>
      <c r="E57" s="274">
        <v>1</v>
      </c>
      <c r="F57" s="274">
        <v>1</v>
      </c>
      <c r="G57" s="271">
        <v>1</v>
      </c>
      <c r="H57" s="274">
        <f>D57*E57*F57*G57</f>
        <v>50000</v>
      </c>
      <c r="I57" s="274">
        <f>H57/54</f>
        <v>925.92592592592598</v>
      </c>
      <c r="J57" s="438"/>
      <c r="K57" s="274"/>
      <c r="L57" s="274">
        <f>I57*L22</f>
        <v>1851.851851851852</v>
      </c>
      <c r="M57" s="274"/>
      <c r="N57" s="274">
        <f>I57*N22</f>
        <v>1851.851851851852</v>
      </c>
      <c r="O57" s="283">
        <f>K57+L57+M57+N57</f>
        <v>3703.7037037037039</v>
      </c>
      <c r="P57" s="283">
        <f>I57*P22</f>
        <v>5555.5555555555557</v>
      </c>
      <c r="Q57" s="283"/>
      <c r="R57" s="283"/>
      <c r="S57" s="283"/>
      <c r="T57" s="283">
        <f>P57+Q57+R57+S57</f>
        <v>5555.5555555555557</v>
      </c>
      <c r="U57" s="283"/>
      <c r="V57" s="283"/>
      <c r="W57" s="283"/>
      <c r="X57" s="283"/>
      <c r="Y57" s="283">
        <f>U57+V57+W57+X57</f>
        <v>0</v>
      </c>
      <c r="Z57" s="282">
        <f>O57+T57+Y57</f>
        <v>9259.2592592592591</v>
      </c>
    </row>
    <row r="58" spans="2:26" x14ac:dyDescent="0.3">
      <c r="B58" s="253">
        <f t="shared" ref="B58:B66" si="11">B23</f>
        <v>2</v>
      </c>
      <c r="C58" s="253" t="s">
        <v>326</v>
      </c>
      <c r="D58" s="274">
        <v>50000</v>
      </c>
      <c r="E58" s="274">
        <v>1</v>
      </c>
      <c r="F58" s="274">
        <v>1</v>
      </c>
      <c r="G58" s="271">
        <v>1</v>
      </c>
      <c r="H58" s="274">
        <f t="shared" ref="H58:H66" si="12">D58*E58*F58*G58</f>
        <v>50000</v>
      </c>
      <c r="I58" s="274">
        <f>H58/54</f>
        <v>925.92592592592598</v>
      </c>
      <c r="J58" s="438"/>
      <c r="K58" s="274"/>
      <c r="L58" s="274">
        <f>I58*L23</f>
        <v>1851.851851851852</v>
      </c>
      <c r="M58" s="274"/>
      <c r="N58" s="284">
        <f>I58*N23</f>
        <v>1851.851851851852</v>
      </c>
      <c r="O58" s="283">
        <f t="shared" ref="O58:O65" si="13">K58+L58+M58+N58</f>
        <v>3703.7037037037039</v>
      </c>
      <c r="P58" s="285">
        <f>I58*P23</f>
        <v>5555.5555555555557</v>
      </c>
      <c r="Q58" s="283"/>
      <c r="R58" s="283"/>
      <c r="S58" s="283"/>
      <c r="T58" s="283">
        <f t="shared" ref="T58:T66" si="14">P58+Q58+R58+S58</f>
        <v>5555.5555555555557</v>
      </c>
      <c r="U58" s="283"/>
      <c r="V58" s="283"/>
      <c r="W58" s="283"/>
      <c r="X58" s="283"/>
      <c r="Y58" s="283">
        <f t="shared" ref="Y58:Y66" si="15">U58+V58+W58+X58</f>
        <v>0</v>
      </c>
      <c r="Z58" s="282">
        <f t="shared" ref="Z58:Z66" si="16">O58+T58+Y58</f>
        <v>9259.2592592592591</v>
      </c>
    </row>
    <row r="59" spans="2:26" x14ac:dyDescent="0.3">
      <c r="B59" s="253">
        <f t="shared" si="11"/>
        <v>3</v>
      </c>
      <c r="C59" s="253" t="s">
        <v>327</v>
      </c>
      <c r="D59" s="274">
        <f>H101</f>
        <v>1740000</v>
      </c>
      <c r="E59" s="274">
        <v>1</v>
      </c>
      <c r="F59" s="274">
        <v>1</v>
      </c>
      <c r="G59" s="271">
        <v>0.25</v>
      </c>
      <c r="H59" s="274">
        <f t="shared" si="12"/>
        <v>435000</v>
      </c>
      <c r="I59" s="274">
        <f t="shared" ref="I59:I67" si="17">H59/54</f>
        <v>8055.5555555555557</v>
      </c>
      <c r="J59" s="438"/>
      <c r="K59" s="274"/>
      <c r="L59" s="274"/>
      <c r="M59" s="274">
        <f>I59*M24</f>
        <v>16111.111111111111</v>
      </c>
      <c r="N59" s="274">
        <f>I59*N24</f>
        <v>32222.222222222223</v>
      </c>
      <c r="O59" s="283">
        <f t="shared" si="13"/>
        <v>48333.333333333336</v>
      </c>
      <c r="P59" s="283">
        <f>I59*P24</f>
        <v>80555.555555555562</v>
      </c>
      <c r="Q59" s="283">
        <f>I59*Q24</f>
        <v>80555.555555555562</v>
      </c>
      <c r="R59" s="283">
        <f>Q59</f>
        <v>80555.555555555562</v>
      </c>
      <c r="S59" s="283">
        <f>R59</f>
        <v>80555.555555555562</v>
      </c>
      <c r="T59" s="283">
        <f t="shared" si="14"/>
        <v>322222.22222222225</v>
      </c>
      <c r="U59" s="283">
        <f>S59</f>
        <v>80555.555555555562</v>
      </c>
      <c r="V59" s="283">
        <f>U59</f>
        <v>80555.555555555562</v>
      </c>
      <c r="W59" s="283">
        <f>V59</f>
        <v>80555.555555555562</v>
      </c>
      <c r="X59" s="283">
        <f>W59</f>
        <v>80555.555555555562</v>
      </c>
      <c r="Y59" s="283">
        <f t="shared" si="15"/>
        <v>322222.22222222225</v>
      </c>
      <c r="Z59" s="282">
        <f t="shared" si="16"/>
        <v>692777.77777777775</v>
      </c>
    </row>
    <row r="60" spans="2:26" x14ac:dyDescent="0.3">
      <c r="B60" s="253">
        <f t="shared" si="11"/>
        <v>4</v>
      </c>
      <c r="C60" s="253" t="s">
        <v>328</v>
      </c>
      <c r="D60" s="274">
        <v>500000</v>
      </c>
      <c r="E60" s="274">
        <v>1</v>
      </c>
      <c r="F60" s="274">
        <v>1</v>
      </c>
      <c r="G60" s="271">
        <v>1</v>
      </c>
      <c r="H60" s="274">
        <f t="shared" si="12"/>
        <v>500000</v>
      </c>
      <c r="I60" s="274">
        <f t="shared" si="17"/>
        <v>9259.2592592592591</v>
      </c>
      <c r="J60" s="438"/>
      <c r="K60" s="274"/>
      <c r="L60" s="274"/>
      <c r="M60" s="274">
        <f>I60*M25</f>
        <v>18518.518518518518</v>
      </c>
      <c r="N60" s="274">
        <f>I60*N25</f>
        <v>18518.518518518518</v>
      </c>
      <c r="O60" s="283">
        <f t="shared" si="13"/>
        <v>37037.037037037036</v>
      </c>
      <c r="P60" s="283">
        <f>I60*P25</f>
        <v>37037.037037037036</v>
      </c>
      <c r="Q60" s="283">
        <f>I60*Q25</f>
        <v>18518.518518518518</v>
      </c>
      <c r="R60" s="283"/>
      <c r="S60" s="283"/>
      <c r="T60" s="283">
        <f t="shared" si="14"/>
        <v>55555.555555555555</v>
      </c>
      <c r="U60" s="283"/>
      <c r="V60" s="283"/>
      <c r="W60" s="283"/>
      <c r="X60" s="283"/>
      <c r="Y60" s="283">
        <f t="shared" si="15"/>
        <v>0</v>
      </c>
      <c r="Z60" s="282">
        <f t="shared" si="16"/>
        <v>92592.592592592584</v>
      </c>
    </row>
    <row r="61" spans="2:26" x14ac:dyDescent="0.3">
      <c r="B61" s="253">
        <f t="shared" si="11"/>
        <v>5</v>
      </c>
      <c r="C61" s="253" t="s">
        <v>329</v>
      </c>
      <c r="D61" s="274">
        <v>1873000</v>
      </c>
      <c r="E61" s="274">
        <v>1</v>
      </c>
      <c r="F61" s="274">
        <v>12</v>
      </c>
      <c r="G61" s="271">
        <v>0.25</v>
      </c>
      <c r="H61" s="274">
        <f t="shared" si="12"/>
        <v>5619000</v>
      </c>
      <c r="I61" s="274">
        <f t="shared" si="17"/>
        <v>104055.55555555556</v>
      </c>
      <c r="J61" s="438"/>
      <c r="K61" s="274"/>
      <c r="L61" s="274"/>
      <c r="M61" s="274"/>
      <c r="N61" s="274">
        <f>I61*N26</f>
        <v>208111.11111111112</v>
      </c>
      <c r="O61" s="283">
        <f t="shared" si="13"/>
        <v>208111.11111111112</v>
      </c>
      <c r="P61" s="283">
        <f>I61*P26</f>
        <v>832444.4444444445</v>
      </c>
      <c r="Q61" s="283">
        <f>I61*Q26</f>
        <v>1040555.5555555556</v>
      </c>
      <c r="R61" s="283">
        <f>Q61</f>
        <v>1040555.5555555556</v>
      </c>
      <c r="S61" s="283">
        <f>R61</f>
        <v>1040555.5555555556</v>
      </c>
      <c r="T61" s="283">
        <f t="shared" si="14"/>
        <v>3954111.111111111</v>
      </c>
      <c r="U61" s="283">
        <f>S61</f>
        <v>1040555.5555555556</v>
      </c>
      <c r="V61" s="283">
        <f>U61</f>
        <v>1040555.5555555556</v>
      </c>
      <c r="W61" s="283">
        <f>V61</f>
        <v>1040555.5555555556</v>
      </c>
      <c r="X61" s="283">
        <f>W61</f>
        <v>1040555.5555555556</v>
      </c>
      <c r="Y61" s="283">
        <f t="shared" si="15"/>
        <v>4162222.2222222225</v>
      </c>
      <c r="Z61" s="282">
        <f t="shared" si="16"/>
        <v>8324444.444444444</v>
      </c>
    </row>
    <row r="62" spans="2:26" x14ac:dyDescent="0.3">
      <c r="B62" s="253">
        <f t="shared" si="11"/>
        <v>6</v>
      </c>
      <c r="C62" s="253" t="s">
        <v>344</v>
      </c>
      <c r="D62" s="274">
        <v>0</v>
      </c>
      <c r="E62" s="274">
        <v>0</v>
      </c>
      <c r="F62" s="274">
        <v>0</v>
      </c>
      <c r="G62" s="271">
        <v>1</v>
      </c>
      <c r="H62" s="274">
        <f t="shared" si="12"/>
        <v>0</v>
      </c>
      <c r="I62" s="274">
        <f t="shared" si="17"/>
        <v>0</v>
      </c>
      <c r="J62" s="438"/>
      <c r="K62" s="274"/>
      <c r="L62" s="274"/>
      <c r="M62" s="274"/>
      <c r="N62" s="274"/>
      <c r="O62" s="283">
        <f t="shared" si="13"/>
        <v>0</v>
      </c>
      <c r="P62" s="283"/>
      <c r="Q62" s="283"/>
      <c r="R62" s="283"/>
      <c r="S62" s="283"/>
      <c r="T62" s="283">
        <f t="shared" si="14"/>
        <v>0</v>
      </c>
      <c r="U62" s="283"/>
      <c r="V62" s="283"/>
      <c r="W62" s="283"/>
      <c r="X62" s="283"/>
      <c r="Y62" s="283">
        <f t="shared" si="15"/>
        <v>0</v>
      </c>
      <c r="Z62" s="282">
        <f t="shared" si="16"/>
        <v>0</v>
      </c>
    </row>
    <row r="63" spans="2:26" x14ac:dyDescent="0.3">
      <c r="B63" s="253">
        <f t="shared" si="11"/>
        <v>7</v>
      </c>
      <c r="C63" s="253" t="s">
        <v>331</v>
      </c>
      <c r="D63" s="274">
        <v>5000</v>
      </c>
      <c r="E63" s="274">
        <v>1</v>
      </c>
      <c r="F63" s="274">
        <v>12</v>
      </c>
      <c r="G63" s="271">
        <v>0.25</v>
      </c>
      <c r="H63" s="274">
        <f t="shared" si="12"/>
        <v>15000</v>
      </c>
      <c r="I63" s="274">
        <f t="shared" si="17"/>
        <v>277.77777777777777</v>
      </c>
      <c r="J63" s="438"/>
      <c r="K63" s="274"/>
      <c r="L63" s="274"/>
      <c r="M63" s="284">
        <f>I63*M28</f>
        <v>555.55555555555554</v>
      </c>
      <c r="N63" s="284">
        <f>I63*N28</f>
        <v>555.55555555555554</v>
      </c>
      <c r="O63" s="283">
        <f t="shared" si="13"/>
        <v>1111.1111111111111</v>
      </c>
      <c r="P63" s="285">
        <f>I63*P29</f>
        <v>2222.2222222222222</v>
      </c>
      <c r="Q63" s="285">
        <f>I63*Q30</f>
        <v>2777.7777777777778</v>
      </c>
      <c r="R63" s="285">
        <f t="shared" ref="R63:S65" si="18">Q63</f>
        <v>2777.7777777777778</v>
      </c>
      <c r="S63" s="285">
        <f t="shared" si="18"/>
        <v>2777.7777777777778</v>
      </c>
      <c r="T63" s="283">
        <f t="shared" si="14"/>
        <v>10555.555555555555</v>
      </c>
      <c r="U63" s="283">
        <f>S63</f>
        <v>2777.7777777777778</v>
      </c>
      <c r="V63" s="283">
        <f>U63</f>
        <v>2777.7777777777778</v>
      </c>
      <c r="W63" s="283">
        <f t="shared" ref="W63:X66" si="19">V63</f>
        <v>2777.7777777777778</v>
      </c>
      <c r="X63" s="283">
        <f t="shared" si="19"/>
        <v>2777.7777777777778</v>
      </c>
      <c r="Y63" s="283">
        <f t="shared" si="15"/>
        <v>11111.111111111111</v>
      </c>
      <c r="Z63" s="282">
        <f t="shared" si="16"/>
        <v>22777.777777777777</v>
      </c>
    </row>
    <row r="64" spans="2:26" x14ac:dyDescent="0.3">
      <c r="B64" s="253">
        <f t="shared" si="11"/>
        <v>8</v>
      </c>
      <c r="C64" s="253" t="s">
        <v>332</v>
      </c>
      <c r="D64" s="274">
        <v>2000</v>
      </c>
      <c r="E64" s="274">
        <v>1</v>
      </c>
      <c r="F64" s="274">
        <v>4</v>
      </c>
      <c r="G64" s="271">
        <v>0.25</v>
      </c>
      <c r="H64" s="274">
        <f t="shared" si="12"/>
        <v>2000</v>
      </c>
      <c r="I64" s="274">
        <f t="shared" si="17"/>
        <v>37.037037037037038</v>
      </c>
      <c r="J64" s="438"/>
      <c r="K64" s="274"/>
      <c r="L64" s="274"/>
      <c r="M64" s="284">
        <f>I64*M29</f>
        <v>74.074074074074076</v>
      </c>
      <c r="N64" s="284">
        <f>I64*N29</f>
        <v>74.074074074074076</v>
      </c>
      <c r="O64" s="283">
        <f t="shared" si="13"/>
        <v>148.14814814814815</v>
      </c>
      <c r="P64" s="285">
        <f>I64*P30</f>
        <v>296.2962962962963</v>
      </c>
      <c r="Q64" s="285">
        <f>I64*Q30</f>
        <v>370.37037037037038</v>
      </c>
      <c r="R64" s="283">
        <f t="shared" si="18"/>
        <v>370.37037037037038</v>
      </c>
      <c r="S64" s="283">
        <f t="shared" si="18"/>
        <v>370.37037037037038</v>
      </c>
      <c r="T64" s="283">
        <f t="shared" si="14"/>
        <v>1407.4074074074076</v>
      </c>
      <c r="U64" s="283">
        <f>S64</f>
        <v>370.37037037037038</v>
      </c>
      <c r="V64" s="283">
        <f>U64</f>
        <v>370.37037037037038</v>
      </c>
      <c r="W64" s="283">
        <f t="shared" si="19"/>
        <v>370.37037037037038</v>
      </c>
      <c r="X64" s="283">
        <f t="shared" si="19"/>
        <v>370.37037037037038</v>
      </c>
      <c r="Y64" s="283">
        <f t="shared" si="15"/>
        <v>1481.4814814814815</v>
      </c>
      <c r="Z64" s="282">
        <f t="shared" si="16"/>
        <v>3037.0370370370374</v>
      </c>
    </row>
    <row r="65" spans="2:26" x14ac:dyDescent="0.3">
      <c r="B65" s="253">
        <f t="shared" si="11"/>
        <v>9</v>
      </c>
      <c r="C65" s="253" t="s">
        <v>333</v>
      </c>
      <c r="D65" s="274">
        <v>15000</v>
      </c>
      <c r="E65" s="274">
        <v>1</v>
      </c>
      <c r="F65" s="274">
        <v>12</v>
      </c>
      <c r="G65" s="271">
        <v>0.25</v>
      </c>
      <c r="H65" s="274">
        <f t="shared" si="12"/>
        <v>45000</v>
      </c>
      <c r="I65" s="274">
        <f t="shared" si="17"/>
        <v>833.33333333333337</v>
      </c>
      <c r="J65" s="438"/>
      <c r="K65" s="274"/>
      <c r="L65" s="274"/>
      <c r="M65" s="274"/>
      <c r="N65" s="284">
        <f>I65*N30</f>
        <v>3333.3333333333335</v>
      </c>
      <c r="O65" s="283">
        <f t="shared" si="13"/>
        <v>3333.3333333333335</v>
      </c>
      <c r="P65" s="285">
        <f>I65*P30</f>
        <v>6666.666666666667</v>
      </c>
      <c r="Q65" s="285">
        <f>I65*Q30</f>
        <v>8333.3333333333339</v>
      </c>
      <c r="R65" s="283">
        <f t="shared" si="18"/>
        <v>8333.3333333333339</v>
      </c>
      <c r="S65" s="283">
        <f t="shared" si="18"/>
        <v>8333.3333333333339</v>
      </c>
      <c r="T65" s="283">
        <f t="shared" si="14"/>
        <v>31666.666666666672</v>
      </c>
      <c r="U65" s="283">
        <f>S65</f>
        <v>8333.3333333333339</v>
      </c>
      <c r="V65" s="283">
        <f>U65</f>
        <v>8333.3333333333339</v>
      </c>
      <c r="W65" s="283">
        <f t="shared" si="19"/>
        <v>8333.3333333333339</v>
      </c>
      <c r="X65" s="283">
        <f t="shared" si="19"/>
        <v>8333.3333333333339</v>
      </c>
      <c r="Y65" s="283">
        <f t="shared" si="15"/>
        <v>33333.333333333336</v>
      </c>
      <c r="Z65" s="282">
        <f t="shared" si="16"/>
        <v>68333.333333333343</v>
      </c>
    </row>
    <row r="66" spans="2:26" x14ac:dyDescent="0.3">
      <c r="B66" s="253">
        <f t="shared" si="11"/>
        <v>10</v>
      </c>
      <c r="C66" s="253" t="s">
        <v>334</v>
      </c>
      <c r="D66" s="274">
        <v>1000000</v>
      </c>
      <c r="E66" s="274">
        <v>1</v>
      </c>
      <c r="F66" s="274">
        <v>1</v>
      </c>
      <c r="G66" s="271">
        <v>1</v>
      </c>
      <c r="H66" s="274">
        <f t="shared" si="12"/>
        <v>1000000</v>
      </c>
      <c r="I66" s="274">
        <f t="shared" si="17"/>
        <v>18518.518518518518</v>
      </c>
      <c r="J66" s="438"/>
      <c r="K66" s="274"/>
      <c r="L66" s="274">
        <f>I66*L28</f>
        <v>0</v>
      </c>
      <c r="M66" s="274"/>
      <c r="N66" s="274"/>
      <c r="O66" s="283"/>
      <c r="P66" s="285"/>
      <c r="Q66" s="285">
        <f>I66*Q31</f>
        <v>37037.037037037036</v>
      </c>
      <c r="R66" s="285">
        <f>I66*R31</f>
        <v>74074.074074074073</v>
      </c>
      <c r="S66" s="285">
        <f>I66*S31</f>
        <v>74074.074074074073</v>
      </c>
      <c r="T66" s="283">
        <f t="shared" si="14"/>
        <v>185185.18518518517</v>
      </c>
      <c r="U66" s="283"/>
      <c r="V66" s="285">
        <f>I66*V31</f>
        <v>92592.592592592584</v>
      </c>
      <c r="W66" s="283">
        <f t="shared" si="19"/>
        <v>92592.592592592584</v>
      </c>
      <c r="X66" s="283">
        <f t="shared" si="19"/>
        <v>92592.592592592584</v>
      </c>
      <c r="Y66" s="283">
        <f t="shared" si="15"/>
        <v>277777.77777777775</v>
      </c>
      <c r="Z66" s="282">
        <f t="shared" si="16"/>
        <v>462962.96296296292</v>
      </c>
    </row>
    <row r="67" spans="2:26" x14ac:dyDescent="0.3">
      <c r="B67" s="277"/>
      <c r="C67" s="277" t="s">
        <v>56</v>
      </c>
      <c r="D67" s="277"/>
      <c r="E67" s="277"/>
      <c r="F67" s="277"/>
      <c r="G67" s="277"/>
      <c r="H67" s="278">
        <f>H57+H58+H59+H60+H61+H62+H63+H64+H65+H66</f>
        <v>7716000</v>
      </c>
      <c r="I67" s="280">
        <f t="shared" si="17"/>
        <v>142888.88888888888</v>
      </c>
      <c r="J67" s="438"/>
      <c r="K67" s="286">
        <f>K57+K58+K59+K60+K61+K62+K63+K64+K65+K66</f>
        <v>0</v>
      </c>
      <c r="L67" s="286">
        <f t="shared" ref="L67:Y67" si="20">L57+L58+L59+L60+L61+L62+L63+L64+L65+L66</f>
        <v>3703.7037037037039</v>
      </c>
      <c r="M67" s="286">
        <f t="shared" si="20"/>
        <v>35259.259259259255</v>
      </c>
      <c r="N67" s="286">
        <f t="shared" si="20"/>
        <v>266518.51851851854</v>
      </c>
      <c r="O67" s="286">
        <f t="shared" si="20"/>
        <v>305481.48148148146</v>
      </c>
      <c r="P67" s="286">
        <f t="shared" si="20"/>
        <v>970333.33333333337</v>
      </c>
      <c r="Q67" s="286">
        <f t="shared" si="20"/>
        <v>1188148.1481481481</v>
      </c>
      <c r="R67" s="286">
        <f t="shared" si="20"/>
        <v>1206666.6666666667</v>
      </c>
      <c r="S67" s="286">
        <f t="shared" si="20"/>
        <v>1206666.6666666667</v>
      </c>
      <c r="T67" s="286">
        <f t="shared" si="20"/>
        <v>4571814.8148148153</v>
      </c>
      <c r="U67" s="286">
        <f t="shared" si="20"/>
        <v>1132592.5925925926</v>
      </c>
      <c r="V67" s="286">
        <f t="shared" si="20"/>
        <v>1225185.1851851852</v>
      </c>
      <c r="W67" s="286">
        <f t="shared" si="20"/>
        <v>1225185.1851851852</v>
      </c>
      <c r="X67" s="286">
        <f t="shared" si="20"/>
        <v>1225185.1851851852</v>
      </c>
      <c r="Y67" s="286">
        <f t="shared" si="20"/>
        <v>4808148.1481481483</v>
      </c>
      <c r="Z67" s="282">
        <f>Z56+Z57+Z58+Z59+Z60+Z61+Z62+Z63+Z64+Z65+Z66</f>
        <v>9685444.444444444</v>
      </c>
    </row>
    <row r="68" spans="2:26" x14ac:dyDescent="0.3">
      <c r="J68" s="438"/>
    </row>
    <row r="69" spans="2:26" x14ac:dyDescent="0.3">
      <c r="B69" s="699" t="str">
        <f>C7</f>
        <v>Establish benchmarks for vaccine inventory management</v>
      </c>
      <c r="C69" s="700"/>
      <c r="D69" s="700"/>
      <c r="E69" s="700"/>
      <c r="F69" s="700"/>
      <c r="G69" s="700"/>
      <c r="H69" s="700"/>
      <c r="I69" s="701"/>
      <c r="J69" s="438"/>
      <c r="K69" s="704" t="s">
        <v>26</v>
      </c>
      <c r="L69" s="704"/>
      <c r="M69" s="704"/>
      <c r="N69" s="704"/>
      <c r="O69" s="281" t="s">
        <v>26</v>
      </c>
      <c r="P69" s="705" t="s">
        <v>27</v>
      </c>
      <c r="Q69" s="705"/>
      <c r="R69" s="705"/>
      <c r="S69" s="705"/>
      <c r="T69" s="281" t="s">
        <v>27</v>
      </c>
      <c r="U69" s="705" t="s">
        <v>28</v>
      </c>
      <c r="V69" s="705"/>
      <c r="W69" s="705"/>
      <c r="X69" s="705"/>
      <c r="Y69" s="281" t="s">
        <v>28</v>
      </c>
      <c r="Z69" s="282" t="s">
        <v>19</v>
      </c>
    </row>
    <row r="70" spans="2:26" x14ac:dyDescent="0.3">
      <c r="B70" s="253"/>
      <c r="C70" s="253" t="s">
        <v>49</v>
      </c>
      <c r="D70" s="253" t="s">
        <v>50</v>
      </c>
      <c r="E70" s="253" t="s">
        <v>51</v>
      </c>
      <c r="F70" s="253" t="s">
        <v>52</v>
      </c>
      <c r="G70" s="253" t="s">
        <v>53</v>
      </c>
      <c r="H70" s="253" t="s">
        <v>54</v>
      </c>
      <c r="I70" s="253" t="s">
        <v>55</v>
      </c>
      <c r="K70" s="274" t="s">
        <v>36</v>
      </c>
      <c r="L70" s="274" t="s">
        <v>37</v>
      </c>
      <c r="M70" s="274" t="s">
        <v>38</v>
      </c>
      <c r="N70" s="274" t="s">
        <v>39</v>
      </c>
      <c r="O70" s="281" t="s">
        <v>9</v>
      </c>
      <c r="P70" s="281" t="s">
        <v>36</v>
      </c>
      <c r="Q70" s="281" t="s">
        <v>37</v>
      </c>
      <c r="R70" s="281" t="s">
        <v>38</v>
      </c>
      <c r="S70" s="281" t="s">
        <v>39</v>
      </c>
      <c r="T70" s="281" t="s">
        <v>9</v>
      </c>
      <c r="U70" s="281" t="s">
        <v>36</v>
      </c>
      <c r="V70" s="281" t="s">
        <v>37</v>
      </c>
      <c r="W70" s="281" t="s">
        <v>38</v>
      </c>
      <c r="X70" s="281" t="s">
        <v>39</v>
      </c>
      <c r="Y70" s="281" t="s">
        <v>9</v>
      </c>
      <c r="Z70" s="282"/>
    </row>
    <row r="71" spans="2:26" x14ac:dyDescent="0.3">
      <c r="B71" s="227" t="s">
        <v>319</v>
      </c>
      <c r="C71" s="523" t="s">
        <v>486</v>
      </c>
      <c r="D71" s="253"/>
      <c r="E71" s="253"/>
      <c r="F71" s="253"/>
      <c r="G71" s="253"/>
      <c r="H71" s="253"/>
      <c r="I71" s="253"/>
      <c r="K71" s="274"/>
      <c r="L71" s="274"/>
      <c r="M71" s="274"/>
      <c r="N71" s="274"/>
      <c r="O71" s="283">
        <f>K71+L71+M71+N71</f>
        <v>0</v>
      </c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2"/>
    </row>
    <row r="72" spans="2:26" x14ac:dyDescent="0.3">
      <c r="B72" s="253">
        <f>B34</f>
        <v>1</v>
      </c>
      <c r="C72" s="253" t="s">
        <v>335</v>
      </c>
      <c r="D72" s="274">
        <f>H106+H107</f>
        <v>600000</v>
      </c>
      <c r="E72" s="274">
        <v>1</v>
      </c>
      <c r="F72" s="274">
        <v>1</v>
      </c>
      <c r="G72" s="271">
        <v>0.25</v>
      </c>
      <c r="H72" s="274">
        <f>D72*E72*F72*G72</f>
        <v>150000</v>
      </c>
      <c r="I72" s="274">
        <f>H72/54</f>
        <v>2777.7777777777778</v>
      </c>
      <c r="K72" s="274"/>
      <c r="L72" s="274"/>
      <c r="M72" s="274"/>
      <c r="N72" s="284">
        <f>I72*N34</f>
        <v>2777.7777777777778</v>
      </c>
      <c r="O72" s="283">
        <f t="shared" ref="O72:O79" si="21">K72+L72+M72+N72</f>
        <v>2777.7777777777778</v>
      </c>
      <c r="P72" s="285">
        <f>I72*P34</f>
        <v>2777.7777777777778</v>
      </c>
      <c r="Q72" s="283">
        <f>I72*R34</f>
        <v>2777.7777777777778</v>
      </c>
      <c r="R72" s="285">
        <f>I72*S34</f>
        <v>2777.7777777777778</v>
      </c>
      <c r="S72" s="283"/>
      <c r="T72" s="283">
        <f>P72+Q72+R72+S72</f>
        <v>8333.3333333333339</v>
      </c>
      <c r="U72" s="285">
        <f>I72*U34</f>
        <v>2777.7777777777778</v>
      </c>
      <c r="V72" s="283"/>
      <c r="W72" s="283"/>
      <c r="X72" s="283"/>
      <c r="Y72" s="283">
        <f>U72+V72+W72+X72</f>
        <v>2777.7777777777778</v>
      </c>
      <c r="Z72" s="282">
        <f>O72+T72+Y72</f>
        <v>13888.888888888889</v>
      </c>
    </row>
    <row r="73" spans="2:26" x14ac:dyDescent="0.3">
      <c r="B73" s="253">
        <f t="shared" ref="B73:B79" si="22">B35</f>
        <v>2</v>
      </c>
      <c r="C73" s="253" t="s">
        <v>337</v>
      </c>
      <c r="D73" s="274">
        <f>H108</f>
        <v>5000000</v>
      </c>
      <c r="E73" s="274">
        <v>1</v>
      </c>
      <c r="F73" s="274">
        <v>1</v>
      </c>
      <c r="G73" s="271">
        <v>0.25</v>
      </c>
      <c r="H73" s="274">
        <f t="shared" ref="H73:H79" si="23">D73*E73*F73*G73</f>
        <v>1250000</v>
      </c>
      <c r="I73" s="274">
        <f>H73/54</f>
        <v>23148.14814814815</v>
      </c>
      <c r="K73" s="274"/>
      <c r="L73" s="274"/>
      <c r="M73" s="274"/>
      <c r="N73" s="274"/>
      <c r="O73" s="283">
        <f t="shared" si="21"/>
        <v>0</v>
      </c>
      <c r="P73" s="285">
        <f>I73*P35</f>
        <v>23148.14814814815</v>
      </c>
      <c r="Q73" s="283"/>
      <c r="R73" s="285">
        <f>I73*R34</f>
        <v>23148.14814814815</v>
      </c>
      <c r="S73" s="285">
        <f>I73*S35</f>
        <v>23148.14814814815</v>
      </c>
      <c r="T73" s="283">
        <f t="shared" ref="T73:T79" si="24">P73+Q73+R73+S73</f>
        <v>69444.444444444453</v>
      </c>
      <c r="U73" s="285">
        <f>I73*U35</f>
        <v>23148.14814814815</v>
      </c>
      <c r="V73" s="283"/>
      <c r="W73" s="283"/>
      <c r="X73" s="283"/>
      <c r="Y73" s="283">
        <f t="shared" ref="Y73:Y79" si="25">U73+V73+W73+X73</f>
        <v>23148.14814814815</v>
      </c>
      <c r="Z73" s="282">
        <f t="shared" ref="Z73:Z79" si="26">O73+T73+Y73</f>
        <v>92592.592592592599</v>
      </c>
    </row>
    <row r="74" spans="2:26" x14ac:dyDescent="0.3">
      <c r="B74" s="253">
        <f t="shared" si="22"/>
        <v>3</v>
      </c>
      <c r="C74" s="253" t="s">
        <v>338</v>
      </c>
      <c r="D74" s="274">
        <v>500000</v>
      </c>
      <c r="E74" s="274">
        <v>1</v>
      </c>
      <c r="F74" s="274">
        <v>1</v>
      </c>
      <c r="G74" s="271">
        <v>1</v>
      </c>
      <c r="H74" s="274">
        <f t="shared" si="23"/>
        <v>500000</v>
      </c>
      <c r="I74" s="274">
        <f t="shared" ref="I74:I80" si="27">H74/54</f>
        <v>9259.2592592592591</v>
      </c>
      <c r="K74" s="274"/>
      <c r="L74" s="274"/>
      <c r="M74" s="274">
        <f>I74*M39</f>
        <v>0</v>
      </c>
      <c r="N74" s="274">
        <f>I74*N39</f>
        <v>0</v>
      </c>
      <c r="O74" s="283">
        <f t="shared" si="21"/>
        <v>0</v>
      </c>
      <c r="P74" s="283">
        <f>I74*P39</f>
        <v>0</v>
      </c>
      <c r="Q74" s="283">
        <f>I74*Q39</f>
        <v>0</v>
      </c>
      <c r="R74" s="283">
        <f>Q74</f>
        <v>0</v>
      </c>
      <c r="S74" s="285"/>
      <c r="T74" s="283">
        <f t="shared" si="24"/>
        <v>0</v>
      </c>
      <c r="U74" s="285">
        <f>I74*U36</f>
        <v>9259.2592592592591</v>
      </c>
      <c r="V74" s="283"/>
      <c r="W74" s="283"/>
      <c r="X74" s="283"/>
      <c r="Y74" s="283">
        <f t="shared" si="25"/>
        <v>9259.2592592592591</v>
      </c>
      <c r="Z74" s="282">
        <f t="shared" si="26"/>
        <v>9259.2592592592591</v>
      </c>
    </row>
    <row r="75" spans="2:26" x14ac:dyDescent="0.3">
      <c r="B75" s="253">
        <f t="shared" si="22"/>
        <v>4</v>
      </c>
      <c r="C75" s="253" t="s">
        <v>339</v>
      </c>
      <c r="D75" s="274">
        <v>500000</v>
      </c>
      <c r="E75" s="274">
        <v>1</v>
      </c>
      <c r="F75" s="274">
        <v>1</v>
      </c>
      <c r="G75" s="271">
        <v>1</v>
      </c>
      <c r="H75" s="274">
        <f t="shared" si="23"/>
        <v>500000</v>
      </c>
      <c r="I75" s="274">
        <f t="shared" si="27"/>
        <v>9259.2592592592591</v>
      </c>
      <c r="K75" s="274"/>
      <c r="L75" s="274"/>
      <c r="M75" s="274">
        <f>I75*M40</f>
        <v>0</v>
      </c>
      <c r="N75" s="274">
        <f>I75*N40</f>
        <v>0</v>
      </c>
      <c r="O75" s="283">
        <f t="shared" si="21"/>
        <v>0</v>
      </c>
      <c r="P75" s="283">
        <f>I75*P40</f>
        <v>0</v>
      </c>
      <c r="Q75" s="283">
        <f>I75*Q40</f>
        <v>0</v>
      </c>
      <c r="R75" s="283"/>
      <c r="S75" s="283"/>
      <c r="T75" s="283">
        <f t="shared" si="24"/>
        <v>0</v>
      </c>
      <c r="U75" s="283"/>
      <c r="V75" s="283"/>
      <c r="W75" s="283"/>
      <c r="X75" s="283"/>
      <c r="Y75" s="283">
        <f t="shared" si="25"/>
        <v>0</v>
      </c>
      <c r="Z75" s="282">
        <f t="shared" si="26"/>
        <v>0</v>
      </c>
    </row>
    <row r="76" spans="2:26" x14ac:dyDescent="0.3">
      <c r="B76" s="253">
        <f t="shared" si="22"/>
        <v>5</v>
      </c>
      <c r="C76" s="253" t="s">
        <v>340</v>
      </c>
      <c r="D76" s="274">
        <v>1000000</v>
      </c>
      <c r="E76" s="274">
        <v>1</v>
      </c>
      <c r="F76" s="274">
        <v>4</v>
      </c>
      <c r="G76" s="271">
        <v>1</v>
      </c>
      <c r="H76" s="274">
        <f t="shared" si="23"/>
        <v>4000000</v>
      </c>
      <c r="I76" s="274">
        <f t="shared" si="27"/>
        <v>74074.074074074073</v>
      </c>
      <c r="K76" s="274"/>
      <c r="L76" s="274"/>
      <c r="M76" s="274"/>
      <c r="N76" s="274">
        <f>I76*N41</f>
        <v>0</v>
      </c>
      <c r="O76" s="283">
        <f t="shared" si="21"/>
        <v>0</v>
      </c>
      <c r="P76" s="283">
        <f>I76*P41</f>
        <v>0</v>
      </c>
      <c r="Q76" s="283">
        <f>I76*Q41</f>
        <v>0</v>
      </c>
      <c r="R76" s="283">
        <f>Q76</f>
        <v>0</v>
      </c>
      <c r="S76" s="283">
        <f>R76</f>
        <v>0</v>
      </c>
      <c r="T76" s="283">
        <f t="shared" si="24"/>
        <v>0</v>
      </c>
      <c r="U76" s="283">
        <f>S76</f>
        <v>0</v>
      </c>
      <c r="V76" s="285">
        <f>I76*V38</f>
        <v>74074.074074074073</v>
      </c>
      <c r="W76" s="283"/>
      <c r="X76" s="283">
        <f>W76</f>
        <v>0</v>
      </c>
      <c r="Y76" s="283">
        <f t="shared" si="25"/>
        <v>74074.074074074073</v>
      </c>
      <c r="Z76" s="282">
        <f t="shared" si="26"/>
        <v>74074.074074074073</v>
      </c>
    </row>
    <row r="77" spans="2:26" x14ac:dyDescent="0.3">
      <c r="B77" s="253">
        <f t="shared" si="22"/>
        <v>6</v>
      </c>
      <c r="C77" s="253" t="s">
        <v>341</v>
      </c>
      <c r="D77" s="274">
        <v>0</v>
      </c>
      <c r="E77" s="274">
        <v>0</v>
      </c>
      <c r="F77" s="274">
        <v>0</v>
      </c>
      <c r="G77" s="271">
        <v>1</v>
      </c>
      <c r="H77" s="274">
        <f t="shared" si="23"/>
        <v>0</v>
      </c>
      <c r="I77" s="274">
        <f t="shared" si="27"/>
        <v>0</v>
      </c>
      <c r="K77" s="274"/>
      <c r="L77" s="274"/>
      <c r="M77" s="274"/>
      <c r="N77" s="274"/>
      <c r="O77" s="283">
        <f t="shared" si="21"/>
        <v>0</v>
      </c>
      <c r="P77" s="283"/>
      <c r="Q77" s="283"/>
      <c r="R77" s="283"/>
      <c r="S77" s="283"/>
      <c r="T77" s="283">
        <f t="shared" si="24"/>
        <v>0</v>
      </c>
      <c r="U77" s="283"/>
      <c r="V77" s="283"/>
      <c r="W77" s="283"/>
      <c r="X77" s="283"/>
      <c r="Y77" s="283">
        <f t="shared" si="25"/>
        <v>0</v>
      </c>
      <c r="Z77" s="282">
        <f t="shared" si="26"/>
        <v>0</v>
      </c>
    </row>
    <row r="78" spans="2:26" x14ac:dyDescent="0.3">
      <c r="B78" s="253">
        <f t="shared" si="22"/>
        <v>7</v>
      </c>
      <c r="C78" s="253" t="s">
        <v>342</v>
      </c>
      <c r="D78" s="274">
        <v>1000000</v>
      </c>
      <c r="E78" s="274">
        <v>1</v>
      </c>
      <c r="F78" s="274">
        <v>1</v>
      </c>
      <c r="G78" s="271">
        <v>1</v>
      </c>
      <c r="H78" s="274">
        <f t="shared" si="23"/>
        <v>1000000</v>
      </c>
      <c r="I78" s="274">
        <f t="shared" si="27"/>
        <v>18518.518518518518</v>
      </c>
      <c r="K78" s="274"/>
      <c r="L78" s="274"/>
      <c r="M78" s="284">
        <f>I78*G43</f>
        <v>0</v>
      </c>
      <c r="N78" s="284">
        <f>I78*H43</f>
        <v>0</v>
      </c>
      <c r="O78" s="283">
        <f t="shared" si="21"/>
        <v>0</v>
      </c>
      <c r="P78" s="285">
        <f>I78*I44</f>
        <v>0</v>
      </c>
      <c r="Q78" s="285">
        <f>I78*J45</f>
        <v>0</v>
      </c>
      <c r="R78" s="285">
        <f>Q78</f>
        <v>0</v>
      </c>
      <c r="S78" s="285">
        <f>R78</f>
        <v>0</v>
      </c>
      <c r="T78" s="283">
        <f t="shared" si="24"/>
        <v>0</v>
      </c>
      <c r="U78" s="283">
        <f>S78</f>
        <v>0</v>
      </c>
      <c r="V78" s="283">
        <f>U78</f>
        <v>0</v>
      </c>
      <c r="W78" s="285">
        <f>I78*W40</f>
        <v>18518.518518518518</v>
      </c>
      <c r="X78" s="283"/>
      <c r="Y78" s="283">
        <f t="shared" si="25"/>
        <v>18518.518518518518</v>
      </c>
      <c r="Z78" s="282">
        <f t="shared" si="26"/>
        <v>18518.518518518518</v>
      </c>
    </row>
    <row r="79" spans="2:26" x14ac:dyDescent="0.3">
      <c r="B79" s="253">
        <f t="shared" si="22"/>
        <v>8</v>
      </c>
      <c r="C79" s="253" t="s">
        <v>343</v>
      </c>
      <c r="D79" s="274">
        <v>500000</v>
      </c>
      <c r="E79" s="274">
        <v>1</v>
      </c>
      <c r="F79" s="274">
        <v>1</v>
      </c>
      <c r="G79" s="271">
        <v>1</v>
      </c>
      <c r="H79" s="274">
        <f t="shared" si="23"/>
        <v>500000</v>
      </c>
      <c r="I79" s="274">
        <f t="shared" si="27"/>
        <v>9259.2592592592591</v>
      </c>
      <c r="K79" s="274"/>
      <c r="L79" s="274"/>
      <c r="M79" s="284">
        <f>I79*G44</f>
        <v>0</v>
      </c>
      <c r="N79" s="284">
        <f>I79*H44</f>
        <v>0</v>
      </c>
      <c r="O79" s="283">
        <f t="shared" si="21"/>
        <v>0</v>
      </c>
      <c r="P79" s="285"/>
      <c r="Q79" s="285">
        <f>I79*J45</f>
        <v>0</v>
      </c>
      <c r="R79" s="283">
        <f>Q79</f>
        <v>0</v>
      </c>
      <c r="S79" s="283">
        <f>R79</f>
        <v>0</v>
      </c>
      <c r="T79" s="283">
        <f t="shared" si="24"/>
        <v>0</v>
      </c>
      <c r="U79" s="283">
        <f>S79</f>
        <v>0</v>
      </c>
      <c r="V79" s="283">
        <f>U79</f>
        <v>0</v>
      </c>
      <c r="W79" s="285">
        <f>I79*W41</f>
        <v>9259.2592592592591</v>
      </c>
      <c r="X79" s="283"/>
      <c r="Y79" s="283">
        <f t="shared" si="25"/>
        <v>9259.2592592592591</v>
      </c>
      <c r="Z79" s="282">
        <f t="shared" si="26"/>
        <v>9259.2592592592591</v>
      </c>
    </row>
    <row r="80" spans="2:26" x14ac:dyDescent="0.3">
      <c r="B80" s="277"/>
      <c r="C80" s="277" t="s">
        <v>56</v>
      </c>
      <c r="D80" s="277"/>
      <c r="E80" s="277"/>
      <c r="F80" s="277"/>
      <c r="G80" s="277"/>
      <c r="H80" s="278">
        <f>SUM(H72:H79)</f>
        <v>7900000</v>
      </c>
      <c r="I80" s="286">
        <f t="shared" si="27"/>
        <v>146296.29629629629</v>
      </c>
      <c r="J80" s="279"/>
      <c r="K80" s="286">
        <f>K71+K72+K73+K74+K75+K76+K77+K78+K79</f>
        <v>0</v>
      </c>
      <c r="L80" s="286">
        <f t="shared" ref="L80:Z80" si="28">L71+L72+L73+L74+L75+L76+L77+L78+L79</f>
        <v>0</v>
      </c>
      <c r="M80" s="286">
        <f t="shared" si="28"/>
        <v>0</v>
      </c>
      <c r="N80" s="286">
        <f t="shared" si="28"/>
        <v>2777.7777777777778</v>
      </c>
      <c r="O80" s="286">
        <f t="shared" si="28"/>
        <v>2777.7777777777778</v>
      </c>
      <c r="P80" s="286">
        <f t="shared" si="28"/>
        <v>25925.925925925927</v>
      </c>
      <c r="Q80" s="286">
        <f t="shared" si="28"/>
        <v>2777.7777777777778</v>
      </c>
      <c r="R80" s="286">
        <f t="shared" si="28"/>
        <v>25925.925925925927</v>
      </c>
      <c r="S80" s="286">
        <f t="shared" si="28"/>
        <v>23148.14814814815</v>
      </c>
      <c r="T80" s="286">
        <f t="shared" si="28"/>
        <v>77777.777777777781</v>
      </c>
      <c r="U80" s="286">
        <f t="shared" si="28"/>
        <v>35185.185185185182</v>
      </c>
      <c r="V80" s="286">
        <f t="shared" si="28"/>
        <v>74074.074074074073</v>
      </c>
      <c r="W80" s="286">
        <f t="shared" si="28"/>
        <v>27777.777777777777</v>
      </c>
      <c r="X80" s="286">
        <f t="shared" si="28"/>
        <v>0</v>
      </c>
      <c r="Y80" s="286">
        <f t="shared" si="28"/>
        <v>137037.03703703705</v>
      </c>
      <c r="Z80" s="287">
        <f t="shared" si="28"/>
        <v>217592.59259259261</v>
      </c>
    </row>
    <row r="82" spans="2:26" x14ac:dyDescent="0.3">
      <c r="B82" s="253"/>
      <c r="C82" s="253" t="s">
        <v>49</v>
      </c>
      <c r="D82" s="253"/>
      <c r="E82" s="253"/>
      <c r="F82" s="253"/>
      <c r="G82" s="253"/>
      <c r="H82" s="253"/>
      <c r="I82" s="253"/>
      <c r="K82" s="704" t="s">
        <v>26</v>
      </c>
      <c r="L82" s="704"/>
      <c r="M82" s="704"/>
      <c r="N82" s="704"/>
      <c r="O82" s="288"/>
      <c r="P82" s="704" t="s">
        <v>27</v>
      </c>
      <c r="Q82" s="704"/>
      <c r="R82" s="704"/>
      <c r="S82" s="704"/>
      <c r="T82" s="289"/>
      <c r="U82" s="704" t="s">
        <v>28</v>
      </c>
      <c r="V82" s="704"/>
      <c r="W82" s="704"/>
      <c r="X82" s="704"/>
      <c r="Y82" s="274"/>
      <c r="Z82" s="362" t="s">
        <v>19</v>
      </c>
    </row>
    <row r="83" spans="2:26" x14ac:dyDescent="0.3">
      <c r="Z83" s="363"/>
    </row>
    <row r="84" spans="2:26" x14ac:dyDescent="0.3">
      <c r="B84" s="253"/>
      <c r="C84" s="253" t="s">
        <v>59</v>
      </c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364"/>
    </row>
    <row r="85" spans="2:26" x14ac:dyDescent="0.3">
      <c r="B85" s="253"/>
      <c r="C85" s="253"/>
      <c r="D85" s="253"/>
      <c r="E85" s="253"/>
      <c r="F85" s="253"/>
      <c r="G85" s="253"/>
      <c r="H85" s="253"/>
      <c r="I85" s="253"/>
      <c r="J85" s="253"/>
      <c r="K85" s="704" t="s">
        <v>26</v>
      </c>
      <c r="L85" s="704"/>
      <c r="M85" s="704"/>
      <c r="N85" s="704"/>
      <c r="O85" s="288"/>
      <c r="P85" s="704" t="s">
        <v>27</v>
      </c>
      <c r="Q85" s="704"/>
      <c r="R85" s="704"/>
      <c r="S85" s="704"/>
      <c r="T85" s="289"/>
      <c r="U85" s="704" t="s">
        <v>28</v>
      </c>
      <c r="V85" s="704"/>
      <c r="W85" s="704"/>
      <c r="X85" s="704"/>
      <c r="Y85" s="274"/>
      <c r="Z85" s="362" t="s">
        <v>19</v>
      </c>
    </row>
    <row r="86" spans="2:26" x14ac:dyDescent="0.3">
      <c r="B86" s="253"/>
      <c r="C86" s="253"/>
      <c r="D86" s="253"/>
      <c r="E86" s="253"/>
      <c r="F86" s="253"/>
      <c r="G86" s="253"/>
      <c r="H86" s="253"/>
      <c r="I86" s="253"/>
      <c r="J86" s="253"/>
      <c r="K86" s="274" t="s">
        <v>36</v>
      </c>
      <c r="L86" s="274" t="s">
        <v>37</v>
      </c>
      <c r="M86" s="274" t="s">
        <v>38</v>
      </c>
      <c r="N86" s="274" t="s">
        <v>39</v>
      </c>
      <c r="O86" s="274" t="s">
        <v>9</v>
      </c>
      <c r="P86" s="274" t="s">
        <v>36</v>
      </c>
      <c r="Q86" s="274" t="s">
        <v>37</v>
      </c>
      <c r="R86" s="274" t="s">
        <v>38</v>
      </c>
      <c r="S86" s="274" t="s">
        <v>39</v>
      </c>
      <c r="T86" s="274" t="s">
        <v>9</v>
      </c>
      <c r="U86" s="274" t="s">
        <v>36</v>
      </c>
      <c r="V86" s="274" t="s">
        <v>37</v>
      </c>
      <c r="W86" s="274" t="s">
        <v>38</v>
      </c>
      <c r="X86" s="274" t="s">
        <v>39</v>
      </c>
      <c r="Y86" s="290" t="s">
        <v>9</v>
      </c>
      <c r="Z86" s="362"/>
    </row>
    <row r="87" spans="2:26" x14ac:dyDescent="0.3">
      <c r="B87" s="253" t="s">
        <v>317</v>
      </c>
      <c r="C87" s="253" t="str">
        <f>C46</f>
        <v>Developmentment of Public-Private models involving private sectors based on best practices</v>
      </c>
      <c r="D87" s="253"/>
      <c r="E87" s="253"/>
      <c r="F87" s="253"/>
      <c r="G87" s="253"/>
      <c r="H87" s="253"/>
      <c r="I87" s="253"/>
      <c r="J87" s="253"/>
      <c r="K87" s="276">
        <f t="shared" ref="K87:Z87" si="29">K52</f>
        <v>0</v>
      </c>
      <c r="L87" s="276">
        <f t="shared" si="29"/>
        <v>59259.259259259255</v>
      </c>
      <c r="M87" s="276">
        <f t="shared" si="29"/>
        <v>118518.51851851851</v>
      </c>
      <c r="N87" s="276">
        <f t="shared" si="29"/>
        <v>118518.51851851851</v>
      </c>
      <c r="O87" s="276">
        <f t="shared" si="29"/>
        <v>296296.29629629629</v>
      </c>
      <c r="P87" s="276">
        <f t="shared" si="29"/>
        <v>0</v>
      </c>
      <c r="Q87" s="276">
        <f t="shared" si="29"/>
        <v>0</v>
      </c>
      <c r="R87" s="276">
        <f t="shared" si="29"/>
        <v>0</v>
      </c>
      <c r="S87" s="276">
        <f t="shared" si="29"/>
        <v>0</v>
      </c>
      <c r="T87" s="276">
        <f t="shared" si="29"/>
        <v>0</v>
      </c>
      <c r="U87" s="276">
        <f t="shared" si="29"/>
        <v>0</v>
      </c>
      <c r="V87" s="276">
        <f t="shared" si="29"/>
        <v>0</v>
      </c>
      <c r="W87" s="276">
        <f t="shared" si="29"/>
        <v>0</v>
      </c>
      <c r="X87" s="276">
        <f t="shared" si="29"/>
        <v>0</v>
      </c>
      <c r="Y87" s="276">
        <f t="shared" si="29"/>
        <v>0</v>
      </c>
      <c r="Z87" s="365">
        <f t="shared" si="29"/>
        <v>296296.29629629629</v>
      </c>
    </row>
    <row r="88" spans="2:26" x14ac:dyDescent="0.3">
      <c r="B88" s="253" t="s">
        <v>318</v>
      </c>
      <c r="C88" s="253" t="str">
        <f>C56</f>
        <v>Pilot and evaluate the model in 10 low performing districts</v>
      </c>
      <c r="D88" s="253"/>
      <c r="E88" s="253"/>
      <c r="F88" s="253"/>
      <c r="G88" s="253"/>
      <c r="H88" s="253"/>
      <c r="I88" s="253"/>
      <c r="J88" s="253"/>
      <c r="K88" s="276">
        <f t="shared" ref="K88:Z88" si="30">K67</f>
        <v>0</v>
      </c>
      <c r="L88" s="276">
        <f t="shared" si="30"/>
        <v>3703.7037037037039</v>
      </c>
      <c r="M88" s="276">
        <f t="shared" si="30"/>
        <v>35259.259259259255</v>
      </c>
      <c r="N88" s="276">
        <f t="shared" si="30"/>
        <v>266518.51851851854</v>
      </c>
      <c r="O88" s="276">
        <f t="shared" si="30"/>
        <v>305481.48148148146</v>
      </c>
      <c r="P88" s="276">
        <f t="shared" si="30"/>
        <v>970333.33333333337</v>
      </c>
      <c r="Q88" s="276">
        <f t="shared" si="30"/>
        <v>1188148.1481481481</v>
      </c>
      <c r="R88" s="276">
        <f t="shared" si="30"/>
        <v>1206666.6666666667</v>
      </c>
      <c r="S88" s="276">
        <f t="shared" si="30"/>
        <v>1206666.6666666667</v>
      </c>
      <c r="T88" s="276">
        <f t="shared" si="30"/>
        <v>4571814.8148148153</v>
      </c>
      <c r="U88" s="276">
        <f t="shared" si="30"/>
        <v>1132592.5925925926</v>
      </c>
      <c r="V88" s="276">
        <f t="shared" si="30"/>
        <v>1225185.1851851852</v>
      </c>
      <c r="W88" s="276">
        <f t="shared" si="30"/>
        <v>1225185.1851851852</v>
      </c>
      <c r="X88" s="276">
        <f t="shared" si="30"/>
        <v>1225185.1851851852</v>
      </c>
      <c r="Y88" s="276">
        <f t="shared" si="30"/>
        <v>4808148.1481481483</v>
      </c>
      <c r="Z88" s="365">
        <f t="shared" si="30"/>
        <v>9685444.444444444</v>
      </c>
    </row>
    <row r="89" spans="2:26" x14ac:dyDescent="0.3">
      <c r="B89" s="253" t="s">
        <v>319</v>
      </c>
      <c r="C89" s="253" t="str">
        <f>C71</f>
        <v>Establish benchmarks for vaccine inventory management</v>
      </c>
      <c r="D89" s="253"/>
      <c r="E89" s="253"/>
      <c r="F89" s="253"/>
      <c r="G89" s="253"/>
      <c r="H89" s="253"/>
      <c r="I89" s="253"/>
      <c r="J89" s="253"/>
      <c r="K89" s="276">
        <f t="shared" ref="K89:Z89" si="31">K80</f>
        <v>0</v>
      </c>
      <c r="L89" s="276">
        <f t="shared" si="31"/>
        <v>0</v>
      </c>
      <c r="M89" s="276">
        <f t="shared" si="31"/>
        <v>0</v>
      </c>
      <c r="N89" s="276">
        <f t="shared" si="31"/>
        <v>2777.7777777777778</v>
      </c>
      <c r="O89" s="276">
        <f t="shared" si="31"/>
        <v>2777.7777777777778</v>
      </c>
      <c r="P89" s="276">
        <f t="shared" si="31"/>
        <v>25925.925925925927</v>
      </c>
      <c r="Q89" s="276">
        <f t="shared" si="31"/>
        <v>2777.7777777777778</v>
      </c>
      <c r="R89" s="276">
        <f t="shared" si="31"/>
        <v>25925.925925925927</v>
      </c>
      <c r="S89" s="276">
        <f t="shared" si="31"/>
        <v>23148.14814814815</v>
      </c>
      <c r="T89" s="276">
        <f t="shared" si="31"/>
        <v>77777.777777777781</v>
      </c>
      <c r="U89" s="276">
        <f t="shared" si="31"/>
        <v>35185.185185185182</v>
      </c>
      <c r="V89" s="276">
        <f t="shared" si="31"/>
        <v>74074.074074074073</v>
      </c>
      <c r="W89" s="276">
        <f t="shared" si="31"/>
        <v>27777.777777777777</v>
      </c>
      <c r="X89" s="276">
        <f t="shared" si="31"/>
        <v>0</v>
      </c>
      <c r="Y89" s="276">
        <f t="shared" si="31"/>
        <v>137037.03703703705</v>
      </c>
      <c r="Z89" s="365">
        <f t="shared" si="31"/>
        <v>217592.59259259261</v>
      </c>
    </row>
    <row r="90" spans="2:26" x14ac:dyDescent="0.3">
      <c r="B90" s="253"/>
      <c r="C90" s="291" t="s">
        <v>59</v>
      </c>
      <c r="D90" s="291"/>
      <c r="E90" s="291"/>
      <c r="F90" s="291"/>
      <c r="G90" s="291"/>
      <c r="H90" s="291"/>
      <c r="I90" s="291"/>
      <c r="J90" s="291"/>
      <c r="K90" s="292">
        <f>K87+K88+K89</f>
        <v>0</v>
      </c>
      <c r="L90" s="292">
        <f t="shared" ref="L90:Z90" si="32">L87+L88+L89</f>
        <v>62962.962962962956</v>
      </c>
      <c r="M90" s="292">
        <f t="shared" si="32"/>
        <v>153777.77777777775</v>
      </c>
      <c r="N90" s="292">
        <f t="shared" si="32"/>
        <v>387814.81481481483</v>
      </c>
      <c r="O90" s="292">
        <f t="shared" si="32"/>
        <v>604555.5555555555</v>
      </c>
      <c r="P90" s="292">
        <f t="shared" si="32"/>
        <v>996259.25925925933</v>
      </c>
      <c r="Q90" s="292">
        <f t="shared" si="32"/>
        <v>1190925.9259259258</v>
      </c>
      <c r="R90" s="292">
        <f t="shared" si="32"/>
        <v>1232592.5925925926</v>
      </c>
      <c r="S90" s="292">
        <f t="shared" si="32"/>
        <v>1229814.8148148148</v>
      </c>
      <c r="T90" s="292">
        <f t="shared" si="32"/>
        <v>4649592.5925925933</v>
      </c>
      <c r="U90" s="292">
        <f t="shared" si="32"/>
        <v>1167777.7777777778</v>
      </c>
      <c r="V90" s="292">
        <f t="shared" si="32"/>
        <v>1299259.2592592593</v>
      </c>
      <c r="W90" s="292">
        <f t="shared" si="32"/>
        <v>1252962.9629629629</v>
      </c>
      <c r="X90" s="292">
        <f t="shared" si="32"/>
        <v>1225185.1851851852</v>
      </c>
      <c r="Y90" s="292">
        <f t="shared" si="32"/>
        <v>4945185.1851851856</v>
      </c>
      <c r="Z90" s="365">
        <f t="shared" si="32"/>
        <v>10199333.333333334</v>
      </c>
    </row>
    <row r="91" spans="2:26" x14ac:dyDescent="0.3"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69"/>
    </row>
    <row r="94" spans="2:26" x14ac:dyDescent="0.3">
      <c r="C94" s="706" t="s">
        <v>61</v>
      </c>
      <c r="D94" s="706"/>
      <c r="E94" s="706"/>
      <c r="F94" s="706"/>
      <c r="G94" s="706"/>
      <c r="H94" s="706"/>
      <c r="I94" s="706"/>
      <c r="J94" s="293"/>
      <c r="K94" s="293"/>
    </row>
    <row r="96" spans="2:26" x14ac:dyDescent="0.3">
      <c r="C96" s="253"/>
      <c r="D96" s="253" t="s">
        <v>50</v>
      </c>
      <c r="E96" s="253" t="s">
        <v>80</v>
      </c>
      <c r="F96" s="253" t="s">
        <v>52</v>
      </c>
      <c r="G96" s="253" t="s">
        <v>53</v>
      </c>
      <c r="H96" s="253" t="s">
        <v>54</v>
      </c>
      <c r="I96" s="253" t="s">
        <v>55</v>
      </c>
    </row>
    <row r="97" spans="3:9" x14ac:dyDescent="0.3">
      <c r="C97" s="253" t="s">
        <v>327</v>
      </c>
      <c r="D97" s="253"/>
      <c r="E97" s="253"/>
      <c r="F97" s="253"/>
      <c r="G97" s="253"/>
      <c r="H97" s="253"/>
      <c r="I97" s="253"/>
    </row>
    <row r="98" spans="3:9" x14ac:dyDescent="0.3">
      <c r="C98" s="253" t="s">
        <v>345</v>
      </c>
      <c r="D98" s="274">
        <v>50000</v>
      </c>
      <c r="E98" s="274">
        <v>2</v>
      </c>
      <c r="F98" s="274">
        <v>12</v>
      </c>
      <c r="G98" s="274">
        <v>1</v>
      </c>
      <c r="H98" s="274">
        <f>D98*E98*F98*G98</f>
        <v>1200000</v>
      </c>
      <c r="I98" s="274">
        <f>H98/54</f>
        <v>22222.222222222223</v>
      </c>
    </row>
    <row r="99" spans="3:9" x14ac:dyDescent="0.3">
      <c r="C99" s="253" t="s">
        <v>346</v>
      </c>
      <c r="D99" s="274">
        <v>25000</v>
      </c>
      <c r="E99" s="274">
        <v>1</v>
      </c>
      <c r="F99" s="274">
        <v>12</v>
      </c>
      <c r="G99" s="274">
        <v>1</v>
      </c>
      <c r="H99" s="274">
        <f>D99*E99*F99*G99</f>
        <v>300000</v>
      </c>
      <c r="I99" s="274">
        <f>H99/54</f>
        <v>5555.5555555555557</v>
      </c>
    </row>
    <row r="100" spans="3:9" x14ac:dyDescent="0.3">
      <c r="C100" s="253" t="s">
        <v>347</v>
      </c>
      <c r="D100" s="274">
        <v>10000</v>
      </c>
      <c r="E100" s="274">
        <v>2</v>
      </c>
      <c r="F100" s="274">
        <v>12</v>
      </c>
      <c r="G100" s="274">
        <v>1</v>
      </c>
      <c r="H100" s="274">
        <f>D100*E100*F100*G100</f>
        <v>240000</v>
      </c>
      <c r="I100" s="274">
        <f>H100/54</f>
        <v>4444.4444444444443</v>
      </c>
    </row>
    <row r="101" spans="3:9" x14ac:dyDescent="0.3">
      <c r="C101" s="268" t="s">
        <v>9</v>
      </c>
      <c r="D101" s="294"/>
      <c r="E101" s="294"/>
      <c r="F101" s="294"/>
      <c r="G101" s="294"/>
      <c r="H101" s="294">
        <f>H98+H99+H100</f>
        <v>1740000</v>
      </c>
      <c r="I101" s="294">
        <f>I98+I99+I100</f>
        <v>32222.222222222223</v>
      </c>
    </row>
    <row r="104" spans="3:9" x14ac:dyDescent="0.3">
      <c r="C104" s="253"/>
      <c r="D104" s="253" t="s">
        <v>50</v>
      </c>
      <c r="E104" s="253" t="s">
        <v>80</v>
      </c>
      <c r="F104" s="253" t="s">
        <v>52</v>
      </c>
      <c r="G104" s="253" t="s">
        <v>53</v>
      </c>
      <c r="H104" s="253" t="s">
        <v>54</v>
      </c>
      <c r="I104" s="253" t="s">
        <v>55</v>
      </c>
    </row>
    <row r="105" spans="3:9" x14ac:dyDescent="0.3">
      <c r="C105" s="523" t="s">
        <v>486</v>
      </c>
      <c r="D105" s="253"/>
      <c r="E105" s="253"/>
      <c r="F105" s="253"/>
      <c r="G105" s="253"/>
      <c r="H105" s="253"/>
      <c r="I105" s="253"/>
    </row>
    <row r="106" spans="3:9" x14ac:dyDescent="0.3">
      <c r="C106" s="253" t="s">
        <v>345</v>
      </c>
      <c r="D106" s="274">
        <v>50000</v>
      </c>
      <c r="E106" s="274">
        <v>10</v>
      </c>
      <c r="F106" s="274">
        <v>1</v>
      </c>
      <c r="G106" s="274">
        <v>1</v>
      </c>
      <c r="H106" s="274">
        <f>D106*E106*F106*G106</f>
        <v>500000</v>
      </c>
      <c r="I106" s="274">
        <f>H106/54</f>
        <v>9259.2592592592591</v>
      </c>
    </row>
    <row r="107" spans="3:9" x14ac:dyDescent="0.3">
      <c r="C107" s="253" t="s">
        <v>348</v>
      </c>
      <c r="D107" s="274">
        <v>100000</v>
      </c>
      <c r="E107" s="274">
        <v>1</v>
      </c>
      <c r="F107" s="274">
        <v>1</v>
      </c>
      <c r="G107" s="274">
        <v>1</v>
      </c>
      <c r="H107" s="274">
        <f>D107*E107*F107*G107</f>
        <v>100000</v>
      </c>
      <c r="I107" s="274">
        <f>H107/54</f>
        <v>1851.851851851852</v>
      </c>
    </row>
    <row r="108" spans="3:9" x14ac:dyDescent="0.3">
      <c r="C108" s="253" t="s">
        <v>347</v>
      </c>
      <c r="D108" s="274">
        <f>10*50000</f>
        <v>500000</v>
      </c>
      <c r="E108" s="274">
        <v>1</v>
      </c>
      <c r="F108" s="274">
        <v>10</v>
      </c>
      <c r="G108" s="274">
        <v>1</v>
      </c>
      <c r="H108" s="274">
        <f>D108*E108*F108*G108</f>
        <v>5000000</v>
      </c>
      <c r="I108" s="274">
        <f>H108/54</f>
        <v>92592.592592592599</v>
      </c>
    </row>
    <row r="109" spans="3:9" x14ac:dyDescent="0.3">
      <c r="C109" s="268" t="s">
        <v>9</v>
      </c>
      <c r="D109" s="294"/>
      <c r="E109" s="294"/>
      <c r="F109" s="294"/>
      <c r="G109" s="294"/>
      <c r="H109" s="294">
        <f>H106+H107+H108</f>
        <v>5600000</v>
      </c>
      <c r="I109" s="294">
        <f>I106+I107+I108</f>
        <v>103703.70370370371</v>
      </c>
    </row>
  </sheetData>
  <mergeCells count="49">
    <mergeCell ref="K85:N85"/>
    <mergeCell ref="P85:S85"/>
    <mergeCell ref="U85:X85"/>
    <mergeCell ref="C94:I94"/>
    <mergeCell ref="B69:I69"/>
    <mergeCell ref="K69:N69"/>
    <mergeCell ref="P69:S69"/>
    <mergeCell ref="U69:X69"/>
    <mergeCell ref="K82:N82"/>
    <mergeCell ref="P82:S82"/>
    <mergeCell ref="U82:X82"/>
    <mergeCell ref="B44:I44"/>
    <mergeCell ref="K44:N44"/>
    <mergeCell ref="P44:S44"/>
    <mergeCell ref="U44:X44"/>
    <mergeCell ref="B54:I54"/>
    <mergeCell ref="K54:N54"/>
    <mergeCell ref="P54:S54"/>
    <mergeCell ref="U54:X54"/>
    <mergeCell ref="C41:I41"/>
    <mergeCell ref="C29:I29"/>
    <mergeCell ref="C30:I30"/>
    <mergeCell ref="C31:I31"/>
    <mergeCell ref="C33:I33"/>
    <mergeCell ref="C34:I34"/>
    <mergeCell ref="C35:I35"/>
    <mergeCell ref="C36:I36"/>
    <mergeCell ref="C37:I37"/>
    <mergeCell ref="C38:I38"/>
    <mergeCell ref="C39:I39"/>
    <mergeCell ref="C40:I40"/>
    <mergeCell ref="C28:I28"/>
    <mergeCell ref="C15:I15"/>
    <mergeCell ref="C16:I16"/>
    <mergeCell ref="C17:I17"/>
    <mergeCell ref="C18:I18"/>
    <mergeCell ref="C21:I21"/>
    <mergeCell ref="C22:I22"/>
    <mergeCell ref="C23:I23"/>
    <mergeCell ref="C24:I24"/>
    <mergeCell ref="C25:I25"/>
    <mergeCell ref="C26:I26"/>
    <mergeCell ref="C27:I27"/>
    <mergeCell ref="C14:I14"/>
    <mergeCell ref="B10:I10"/>
    <mergeCell ref="K11:N11"/>
    <mergeCell ref="P11:S11"/>
    <mergeCell ref="U11:X11"/>
    <mergeCell ref="C13:I1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Z73"/>
  <sheetViews>
    <sheetView zoomScale="90" zoomScaleNormal="90" zoomScalePageLayoutView="90" workbookViewId="0">
      <selection activeCell="B49" sqref="B49:J49"/>
    </sheetView>
  </sheetViews>
  <sheetFormatPr defaultColWidth="8.88671875" defaultRowHeight="14.4" x14ac:dyDescent="0.3"/>
  <cols>
    <col min="1" max="2" width="8.88671875" style="216"/>
    <col min="3" max="3" width="71.88671875" style="216" customWidth="1"/>
    <col min="4" max="4" width="17" style="216" bestFit="1" customWidth="1"/>
    <col min="5" max="5" width="17.33203125" style="216" bestFit="1" customWidth="1"/>
    <col min="6" max="6" width="17" style="216" bestFit="1" customWidth="1"/>
    <col min="7" max="7" width="18.33203125" style="216" bestFit="1" customWidth="1"/>
    <col min="8" max="8" width="15.44140625" style="216" bestFit="1" customWidth="1"/>
    <col min="9" max="9" width="14.6640625" style="216" bestFit="1" customWidth="1"/>
    <col min="10" max="10" width="10.88671875" style="216" bestFit="1" customWidth="1"/>
    <col min="11" max="11" width="14.109375" style="216" bestFit="1" customWidth="1"/>
    <col min="12" max="12" width="16.109375" style="216" bestFit="1" customWidth="1"/>
    <col min="13" max="14" width="17.44140625" style="216" bestFit="1" customWidth="1"/>
    <col min="15" max="15" width="20.6640625" style="216" bestFit="1" customWidth="1"/>
    <col min="16" max="16" width="17.6640625" style="216" hidden="1" customWidth="1"/>
    <col min="17" max="17" width="15.44140625" style="216" hidden="1" customWidth="1"/>
    <col min="18" max="18" width="17.44140625" style="216" hidden="1" customWidth="1"/>
    <col min="19" max="19" width="17" style="216" hidden="1" customWidth="1"/>
    <col min="20" max="20" width="21.6640625" style="216" bestFit="1" customWidth="1"/>
    <col min="21" max="21" width="20.109375" style="216" hidden="1" customWidth="1"/>
    <col min="22" max="22" width="16.44140625" style="216" hidden="1" customWidth="1"/>
    <col min="23" max="23" width="21.109375" style="216" hidden="1" customWidth="1"/>
    <col min="24" max="24" width="16.109375" style="216" hidden="1" customWidth="1"/>
    <col min="25" max="25" width="19.44140625" style="216" bestFit="1" customWidth="1"/>
    <col min="26" max="26" width="23.109375" style="216" customWidth="1"/>
    <col min="27" max="16384" width="8.88671875" style="216"/>
  </cols>
  <sheetData>
    <row r="2" spans="2:26" ht="30" customHeight="1" x14ac:dyDescent="0.3">
      <c r="B2" s="223">
        <v>2.1</v>
      </c>
      <c r="C2" s="244" t="s">
        <v>305</v>
      </c>
      <c r="D2" s="226"/>
      <c r="E2" s="226"/>
      <c r="F2" s="226"/>
      <c r="G2" s="226"/>
    </row>
    <row r="3" spans="2:26" ht="42" customHeight="1" x14ac:dyDescent="0.3">
      <c r="B3" s="227" t="s">
        <v>349</v>
      </c>
      <c r="C3" s="245" t="s">
        <v>306</v>
      </c>
      <c r="D3" s="246">
        <f>O51</f>
        <v>326851.85185185185</v>
      </c>
      <c r="E3" s="246">
        <f>T51</f>
        <v>1818814.8148148148</v>
      </c>
      <c r="F3" s="246">
        <f>Y51</f>
        <v>1273148.1481481483</v>
      </c>
      <c r="G3" s="246">
        <f>+D3+E3+F3</f>
        <v>3418814.8148148148</v>
      </c>
    </row>
    <row r="4" spans="2:26" ht="51" customHeight="1" x14ac:dyDescent="0.3">
      <c r="B4" s="525" t="s">
        <v>501</v>
      </c>
      <c r="C4" s="522" t="s">
        <v>502</v>
      </c>
      <c r="D4" s="246">
        <f>O64</f>
        <v>518518.51851851854</v>
      </c>
      <c r="E4" s="246">
        <f>T64</f>
        <v>3242592.5925925928</v>
      </c>
      <c r="F4" s="246">
        <f>Y64</f>
        <v>1559074.0740740742</v>
      </c>
      <c r="G4" s="246">
        <f t="shared" ref="G4" si="0">+D4+E4+F4</f>
        <v>5320185.1851851856</v>
      </c>
    </row>
    <row r="5" spans="2:26" x14ac:dyDescent="0.3">
      <c r="B5" s="227"/>
      <c r="C5" s="247" t="s">
        <v>10</v>
      </c>
      <c r="D5" s="248">
        <f>D3+D4</f>
        <v>845370.37037037034</v>
      </c>
      <c r="E5" s="248">
        <f t="shared" ref="E5:G5" si="1">E3+E4</f>
        <v>5061407.4074074076</v>
      </c>
      <c r="F5" s="248">
        <f t="shared" si="1"/>
        <v>2832222.2222222225</v>
      </c>
      <c r="G5" s="248">
        <f t="shared" si="1"/>
        <v>8739000</v>
      </c>
    </row>
    <row r="7" spans="2:26" x14ac:dyDescent="0.3">
      <c r="B7" s="707" t="s">
        <v>34</v>
      </c>
      <c r="C7" s="708"/>
      <c r="D7" s="708"/>
      <c r="E7" s="708"/>
      <c r="F7" s="708"/>
      <c r="G7" s="708"/>
      <c r="H7" s="708"/>
      <c r="I7" s="708"/>
    </row>
    <row r="8" spans="2:26" x14ac:dyDescent="0.3">
      <c r="B8" s="253"/>
      <c r="C8" s="253"/>
      <c r="D8" s="253"/>
      <c r="E8" s="253"/>
      <c r="F8" s="253"/>
      <c r="G8" s="253"/>
      <c r="H8" s="253"/>
      <c r="I8" s="253"/>
      <c r="J8" s="254"/>
      <c r="K8" s="688" t="s">
        <v>26</v>
      </c>
      <c r="L8" s="688"/>
      <c r="M8" s="688"/>
      <c r="N8" s="688"/>
      <c r="O8" s="255"/>
      <c r="P8" s="709" t="s">
        <v>27</v>
      </c>
      <c r="Q8" s="710"/>
      <c r="R8" s="710"/>
      <c r="S8" s="711"/>
      <c r="T8" s="256"/>
      <c r="U8" s="712" t="s">
        <v>28</v>
      </c>
      <c r="V8" s="713"/>
      <c r="W8" s="713"/>
      <c r="X8" s="714"/>
      <c r="Y8" s="257"/>
      <c r="Z8" s="258"/>
    </row>
    <row r="9" spans="2:26" x14ac:dyDescent="0.3">
      <c r="B9" s="253"/>
      <c r="C9" s="253"/>
      <c r="D9" s="253"/>
      <c r="E9" s="253"/>
      <c r="F9" s="253"/>
      <c r="G9" s="253"/>
      <c r="H9" s="253"/>
      <c r="I9" s="253"/>
      <c r="J9" s="254"/>
      <c r="K9" s="259" t="s">
        <v>36</v>
      </c>
      <c r="L9" s="259" t="s">
        <v>37</v>
      </c>
      <c r="M9" s="259" t="s">
        <v>38</v>
      </c>
      <c r="N9" s="259" t="s">
        <v>39</v>
      </c>
      <c r="O9" s="257" t="s">
        <v>9</v>
      </c>
      <c r="P9" s="295" t="s">
        <v>36</v>
      </c>
      <c r="Q9" s="295" t="s">
        <v>37</v>
      </c>
      <c r="R9" s="295" t="s">
        <v>38</v>
      </c>
      <c r="S9" s="295" t="s">
        <v>39</v>
      </c>
      <c r="T9" s="257" t="s">
        <v>9</v>
      </c>
      <c r="U9" s="296" t="s">
        <v>36</v>
      </c>
      <c r="V9" s="296" t="s">
        <v>37</v>
      </c>
      <c r="W9" s="296" t="s">
        <v>38</v>
      </c>
      <c r="X9" s="296" t="s">
        <v>39</v>
      </c>
      <c r="Y9" s="257" t="s">
        <v>9</v>
      </c>
      <c r="Z9" s="258" t="s">
        <v>40</v>
      </c>
    </row>
    <row r="10" spans="2:26" x14ac:dyDescent="0.3">
      <c r="B10" s="297" t="s">
        <v>349</v>
      </c>
      <c r="C10" s="715" t="str">
        <f>C3</f>
        <v>Scale up SMS logger to all cold chain points in Bihar and Uttar Pradesh</v>
      </c>
      <c r="D10" s="716"/>
      <c r="E10" s="716"/>
      <c r="F10" s="716"/>
      <c r="G10" s="716"/>
      <c r="H10" s="716"/>
      <c r="I10" s="717"/>
      <c r="J10" s="254"/>
      <c r="K10" s="259"/>
      <c r="L10" s="259"/>
      <c r="M10" s="259"/>
      <c r="N10" s="259"/>
      <c r="O10" s="257"/>
      <c r="P10" s="295"/>
      <c r="Q10" s="295"/>
      <c r="R10" s="295"/>
      <c r="S10" s="295"/>
      <c r="T10" s="257"/>
      <c r="U10" s="296"/>
      <c r="V10" s="296"/>
      <c r="W10" s="296"/>
      <c r="X10" s="296"/>
      <c r="Y10" s="257"/>
      <c r="Z10" s="258"/>
    </row>
    <row r="11" spans="2:26" x14ac:dyDescent="0.3">
      <c r="B11" s="253">
        <v>1</v>
      </c>
      <c r="C11" s="682" t="s">
        <v>351</v>
      </c>
      <c r="D11" s="683"/>
      <c r="E11" s="683"/>
      <c r="F11" s="683"/>
      <c r="G11" s="683"/>
      <c r="H11" s="683"/>
      <c r="I11" s="684"/>
      <c r="J11" s="254"/>
      <c r="K11" s="259">
        <v>1</v>
      </c>
      <c r="L11" s="259"/>
      <c r="M11" s="259"/>
      <c r="N11" s="259"/>
      <c r="O11" s="257"/>
      <c r="P11" s="295"/>
      <c r="Q11" s="295"/>
      <c r="R11" s="295"/>
      <c r="S11" s="295"/>
      <c r="T11" s="257"/>
      <c r="U11" s="296"/>
      <c r="V11" s="296"/>
      <c r="W11" s="296"/>
      <c r="X11" s="296"/>
      <c r="Y11" s="257"/>
      <c r="Z11" s="258"/>
    </row>
    <row r="12" spans="2:26" x14ac:dyDescent="0.3">
      <c r="B12" s="253">
        <v>2</v>
      </c>
      <c r="C12" s="682" t="s">
        <v>321</v>
      </c>
      <c r="D12" s="683"/>
      <c r="E12" s="683"/>
      <c r="F12" s="683"/>
      <c r="G12" s="683"/>
      <c r="H12" s="683"/>
      <c r="I12" s="684"/>
      <c r="J12" s="254"/>
      <c r="K12" s="259">
        <v>1</v>
      </c>
      <c r="L12" s="259"/>
      <c r="M12" s="259"/>
      <c r="N12" s="259"/>
      <c r="O12" s="257"/>
      <c r="P12" s="295"/>
      <c r="Q12" s="295"/>
      <c r="R12" s="295"/>
      <c r="S12" s="295"/>
      <c r="T12" s="257"/>
      <c r="U12" s="296"/>
      <c r="V12" s="296"/>
      <c r="W12" s="296"/>
      <c r="X12" s="296"/>
      <c r="Y12" s="257"/>
      <c r="Z12" s="258"/>
    </row>
    <row r="13" spans="2:26" x14ac:dyDescent="0.3">
      <c r="B13" s="253">
        <v>3</v>
      </c>
      <c r="C13" s="682" t="s">
        <v>322</v>
      </c>
      <c r="D13" s="683"/>
      <c r="E13" s="683"/>
      <c r="F13" s="683"/>
      <c r="G13" s="683"/>
      <c r="H13" s="683"/>
      <c r="I13" s="684"/>
      <c r="J13" s="254"/>
      <c r="K13" s="259">
        <v>1</v>
      </c>
      <c r="L13" s="259"/>
      <c r="M13" s="259"/>
      <c r="N13" s="259"/>
      <c r="O13" s="257"/>
      <c r="P13" s="295"/>
      <c r="Q13" s="295"/>
      <c r="R13" s="295"/>
      <c r="S13" s="295"/>
      <c r="T13" s="257"/>
      <c r="U13" s="296"/>
      <c r="V13" s="296"/>
      <c r="W13" s="296"/>
      <c r="X13" s="296"/>
      <c r="Y13" s="257"/>
      <c r="Z13" s="258"/>
    </row>
    <row r="14" spans="2:26" x14ac:dyDescent="0.3">
      <c r="B14" s="253">
        <v>4</v>
      </c>
      <c r="C14" s="682" t="s">
        <v>323</v>
      </c>
      <c r="D14" s="683"/>
      <c r="E14" s="683"/>
      <c r="F14" s="683"/>
      <c r="G14" s="683"/>
      <c r="H14" s="683"/>
      <c r="I14" s="684"/>
      <c r="J14" s="254"/>
      <c r="K14" s="259">
        <v>2</v>
      </c>
      <c r="L14" s="259"/>
      <c r="M14" s="259"/>
      <c r="N14" s="259"/>
      <c r="O14" s="257"/>
      <c r="P14" s="295"/>
      <c r="Q14" s="295"/>
      <c r="R14" s="295"/>
      <c r="S14" s="295"/>
      <c r="T14" s="257"/>
      <c r="U14" s="296"/>
      <c r="V14" s="296"/>
      <c r="W14" s="296"/>
      <c r="X14" s="296"/>
      <c r="Y14" s="257"/>
      <c r="Z14" s="258"/>
    </row>
    <row r="15" spans="2:26" x14ac:dyDescent="0.3">
      <c r="B15" s="253">
        <v>5</v>
      </c>
      <c r="C15" s="682" t="s">
        <v>324</v>
      </c>
      <c r="D15" s="683"/>
      <c r="E15" s="683"/>
      <c r="F15" s="683"/>
      <c r="G15" s="683"/>
      <c r="H15" s="683"/>
      <c r="I15" s="684"/>
      <c r="J15" s="254"/>
      <c r="K15" s="259">
        <v>2</v>
      </c>
      <c r="L15" s="259"/>
      <c r="M15" s="259"/>
      <c r="N15" s="259"/>
      <c r="O15" s="257"/>
      <c r="P15" s="295"/>
      <c r="Q15" s="295"/>
      <c r="R15" s="295"/>
      <c r="S15" s="295"/>
      <c r="T15" s="257"/>
      <c r="U15" s="296"/>
      <c r="V15" s="296"/>
      <c r="W15" s="296"/>
      <c r="X15" s="296"/>
      <c r="Y15" s="257"/>
      <c r="Z15" s="258"/>
    </row>
    <row r="16" spans="2:26" x14ac:dyDescent="0.3">
      <c r="B16" s="253">
        <v>6</v>
      </c>
      <c r="C16" s="682" t="s">
        <v>352</v>
      </c>
      <c r="D16" s="683"/>
      <c r="E16" s="683"/>
      <c r="F16" s="683"/>
      <c r="G16" s="683"/>
      <c r="H16" s="683"/>
      <c r="I16" s="684"/>
      <c r="J16" s="254"/>
      <c r="K16" s="259"/>
      <c r="L16" s="259">
        <v>250</v>
      </c>
      <c r="M16" s="259">
        <v>500</v>
      </c>
      <c r="N16" s="259">
        <v>250</v>
      </c>
      <c r="O16" s="257">
        <v>1000</v>
      </c>
      <c r="P16" s="295">
        <v>1500</v>
      </c>
      <c r="Q16" s="295">
        <v>1500</v>
      </c>
      <c r="R16" s="295">
        <v>2000</v>
      </c>
      <c r="S16" s="295">
        <v>2000</v>
      </c>
      <c r="T16" s="257">
        <v>7000</v>
      </c>
      <c r="U16" s="296"/>
      <c r="V16" s="296"/>
      <c r="W16" s="296"/>
      <c r="X16" s="296"/>
      <c r="Y16" s="257"/>
      <c r="Z16" s="258">
        <v>7000</v>
      </c>
    </row>
    <row r="17" spans="2:26" x14ac:dyDescent="0.3">
      <c r="B17" s="253">
        <v>7</v>
      </c>
      <c r="C17" s="682" t="s">
        <v>353</v>
      </c>
      <c r="D17" s="683"/>
      <c r="E17" s="683"/>
      <c r="F17" s="683"/>
      <c r="G17" s="683"/>
      <c r="H17" s="683"/>
      <c r="I17" s="684"/>
      <c r="J17" s="254"/>
      <c r="K17" s="259"/>
      <c r="L17" s="259">
        <v>250</v>
      </c>
      <c r="M17" s="259">
        <v>500</v>
      </c>
      <c r="N17" s="259">
        <v>250</v>
      </c>
      <c r="O17" s="257">
        <v>1000</v>
      </c>
      <c r="P17" s="295">
        <v>1500</v>
      </c>
      <c r="Q17" s="295">
        <v>1500</v>
      </c>
      <c r="R17" s="295">
        <v>2000</v>
      </c>
      <c r="S17" s="295">
        <v>2000</v>
      </c>
      <c r="T17" s="257">
        <v>7000</v>
      </c>
      <c r="U17" s="296"/>
      <c r="V17" s="296"/>
      <c r="W17" s="296"/>
      <c r="X17" s="296"/>
      <c r="Y17" s="257"/>
      <c r="Z17" s="258">
        <v>7000</v>
      </c>
    </row>
    <row r="18" spans="2:26" x14ac:dyDescent="0.3">
      <c r="B18" s="253">
        <v>8</v>
      </c>
      <c r="C18" s="682" t="s">
        <v>354</v>
      </c>
      <c r="D18" s="683"/>
      <c r="E18" s="683"/>
      <c r="F18" s="683"/>
      <c r="G18" s="683"/>
      <c r="H18" s="683"/>
      <c r="I18" s="684"/>
      <c r="J18" s="254"/>
      <c r="K18" s="259"/>
      <c r="L18" s="259">
        <v>250</v>
      </c>
      <c r="M18" s="259">
        <v>750</v>
      </c>
      <c r="N18" s="259">
        <v>1000</v>
      </c>
      <c r="O18" s="257">
        <v>1000</v>
      </c>
      <c r="P18" s="295">
        <v>2500</v>
      </c>
      <c r="Q18" s="295">
        <v>4000</v>
      </c>
      <c r="R18" s="295">
        <v>6000</v>
      </c>
      <c r="S18" s="295">
        <v>8000</v>
      </c>
      <c r="T18" s="257">
        <v>8000</v>
      </c>
      <c r="U18" s="296">
        <v>8000</v>
      </c>
      <c r="V18" s="296">
        <v>8000</v>
      </c>
      <c r="W18" s="296">
        <v>8000</v>
      </c>
      <c r="X18" s="296">
        <v>8000</v>
      </c>
      <c r="Y18" s="257">
        <v>8000</v>
      </c>
      <c r="Z18" s="258">
        <v>8000</v>
      </c>
    </row>
    <row r="19" spans="2:26" x14ac:dyDescent="0.3">
      <c r="B19" s="253">
        <v>9</v>
      </c>
      <c r="C19" s="682" t="s">
        <v>355</v>
      </c>
      <c r="D19" s="683"/>
      <c r="E19" s="683"/>
      <c r="F19" s="683"/>
      <c r="G19" s="683"/>
      <c r="H19" s="683"/>
      <c r="I19" s="684"/>
      <c r="J19" s="254"/>
      <c r="K19" s="259"/>
      <c r="L19" s="259">
        <v>250</v>
      </c>
      <c r="M19" s="259">
        <v>500</v>
      </c>
      <c r="N19" s="259">
        <v>250</v>
      </c>
      <c r="O19" s="257">
        <v>1000</v>
      </c>
      <c r="P19" s="295">
        <v>1500</v>
      </c>
      <c r="Q19" s="295">
        <f>1500+250</f>
        <v>1750</v>
      </c>
      <c r="R19" s="295">
        <f>M19+R17</f>
        <v>2500</v>
      </c>
      <c r="S19" s="295">
        <f>N19+S17</f>
        <v>2250</v>
      </c>
      <c r="T19" s="257">
        <v>8000</v>
      </c>
      <c r="U19" s="296">
        <f>2500</f>
        <v>2500</v>
      </c>
      <c r="V19" s="296">
        <v>4000</v>
      </c>
      <c r="W19" s="296">
        <v>6000</v>
      </c>
      <c r="X19" s="296">
        <v>8000</v>
      </c>
      <c r="Y19" s="257">
        <v>8000</v>
      </c>
      <c r="Z19" s="258">
        <v>8000</v>
      </c>
    </row>
    <row r="20" spans="2:26" x14ac:dyDescent="0.3">
      <c r="B20" s="253">
        <v>10</v>
      </c>
      <c r="C20" s="682" t="s">
        <v>356</v>
      </c>
      <c r="D20" s="683"/>
      <c r="E20" s="683"/>
      <c r="F20" s="683"/>
      <c r="G20" s="683"/>
      <c r="H20" s="683"/>
      <c r="I20" s="684"/>
      <c r="J20" s="254"/>
      <c r="K20" s="259"/>
      <c r="L20" s="259">
        <v>250</v>
      </c>
      <c r="M20" s="259">
        <v>750</v>
      </c>
      <c r="N20" s="259">
        <v>1000</v>
      </c>
      <c r="O20" s="257">
        <v>1000</v>
      </c>
      <c r="P20" s="295">
        <v>2500</v>
      </c>
      <c r="Q20" s="295">
        <v>4000</v>
      </c>
      <c r="R20" s="295">
        <v>6000</v>
      </c>
      <c r="S20" s="295">
        <v>8000</v>
      </c>
      <c r="T20" s="257">
        <v>8000</v>
      </c>
      <c r="U20" s="296">
        <v>8000</v>
      </c>
      <c r="V20" s="296">
        <v>8000</v>
      </c>
      <c r="W20" s="296">
        <v>8000</v>
      </c>
      <c r="X20" s="296">
        <v>8000</v>
      </c>
      <c r="Y20" s="257">
        <v>8000</v>
      </c>
      <c r="Z20" s="258">
        <v>8000</v>
      </c>
    </row>
    <row r="21" spans="2:26" x14ac:dyDescent="0.3">
      <c r="B21" s="253">
        <v>11</v>
      </c>
      <c r="C21" s="682" t="s">
        <v>357</v>
      </c>
      <c r="D21" s="683"/>
      <c r="E21" s="683"/>
      <c r="F21" s="683"/>
      <c r="G21" s="683"/>
      <c r="H21" s="683"/>
      <c r="I21" s="684"/>
      <c r="J21" s="254"/>
      <c r="K21" s="259"/>
      <c r="L21" s="259"/>
      <c r="M21" s="259">
        <v>1</v>
      </c>
      <c r="N21" s="259"/>
      <c r="O21" s="257">
        <v>4</v>
      </c>
      <c r="P21" s="295"/>
      <c r="Q21" s="295"/>
      <c r="R21" s="295">
        <v>1</v>
      </c>
      <c r="S21" s="295"/>
      <c r="T21" s="257"/>
      <c r="U21" s="296"/>
      <c r="V21" s="296"/>
      <c r="W21" s="296">
        <v>1</v>
      </c>
      <c r="X21" s="296"/>
      <c r="Y21" s="257"/>
      <c r="Z21" s="258">
        <v>5</v>
      </c>
    </row>
    <row r="22" spans="2:26" x14ac:dyDescent="0.3">
      <c r="B22" s="253">
        <v>12</v>
      </c>
      <c r="C22" s="682" t="s">
        <v>358</v>
      </c>
      <c r="D22" s="683"/>
      <c r="E22" s="683"/>
      <c r="F22" s="683"/>
      <c r="G22" s="683"/>
      <c r="H22" s="683"/>
      <c r="I22" s="684"/>
      <c r="J22" s="254"/>
      <c r="K22" s="259"/>
      <c r="L22" s="259"/>
      <c r="M22" s="259">
        <v>50</v>
      </c>
      <c r="N22" s="259"/>
      <c r="O22" s="257">
        <v>109</v>
      </c>
      <c r="P22" s="295">
        <v>100</v>
      </c>
      <c r="Q22" s="295"/>
      <c r="R22" s="295">
        <v>100</v>
      </c>
      <c r="S22" s="295"/>
      <c r="T22" s="257"/>
      <c r="U22" s="296">
        <v>200</v>
      </c>
      <c r="V22" s="296"/>
      <c r="W22" s="296">
        <v>200</v>
      </c>
      <c r="X22" s="296"/>
      <c r="Y22" s="257"/>
      <c r="Z22" s="258">
        <v>159</v>
      </c>
    </row>
    <row r="23" spans="2:26" s="300" customFormat="1" x14ac:dyDescent="0.3">
      <c r="B23" s="263"/>
      <c r="C23" s="263"/>
      <c r="D23" s="263"/>
      <c r="E23" s="263"/>
      <c r="F23" s="263"/>
      <c r="G23" s="263"/>
      <c r="H23" s="263"/>
      <c r="I23" s="263"/>
      <c r="J23" s="215"/>
      <c r="K23" s="263"/>
      <c r="L23" s="263"/>
      <c r="M23" s="263"/>
      <c r="N23" s="263"/>
      <c r="O23" s="298"/>
      <c r="P23" s="299"/>
      <c r="Q23" s="299"/>
      <c r="R23" s="299"/>
      <c r="S23" s="299"/>
      <c r="T23" s="298"/>
      <c r="U23" s="299"/>
      <c r="V23" s="299"/>
      <c r="W23" s="299"/>
      <c r="X23" s="299"/>
      <c r="Y23" s="298"/>
      <c r="Z23" s="299"/>
    </row>
    <row r="24" spans="2:26" ht="30" customHeight="1" x14ac:dyDescent="0.3">
      <c r="B24" s="526" t="s">
        <v>501</v>
      </c>
      <c r="C24" s="715" t="str">
        <f>C4</f>
        <v>Pilot and scale up monitoring systems at all levels (UP &amp; Bihar) to monitor real-time vaccine stock situations, status of equipment and other transactions</v>
      </c>
      <c r="D24" s="716"/>
      <c r="E24" s="716"/>
      <c r="F24" s="716"/>
      <c r="G24" s="716"/>
      <c r="H24" s="716"/>
      <c r="I24" s="717"/>
      <c r="J24" s="254"/>
      <c r="K24" s="259"/>
      <c r="L24" s="259"/>
      <c r="M24" s="259"/>
      <c r="N24" s="259"/>
      <c r="O24" s="257"/>
      <c r="P24" s="295"/>
      <c r="Q24" s="295"/>
      <c r="R24" s="295"/>
      <c r="S24" s="295"/>
      <c r="T24" s="257"/>
      <c r="U24" s="296"/>
      <c r="V24" s="296"/>
      <c r="W24" s="296"/>
      <c r="X24" s="296"/>
      <c r="Y24" s="257"/>
      <c r="Z24" s="258"/>
    </row>
    <row r="25" spans="2:26" x14ac:dyDescent="0.3">
      <c r="B25" s="253">
        <v>1</v>
      </c>
      <c r="C25" s="698" t="s">
        <v>359</v>
      </c>
      <c r="D25" s="683"/>
      <c r="E25" s="683"/>
      <c r="F25" s="683"/>
      <c r="G25" s="683"/>
      <c r="H25" s="683"/>
      <c r="I25" s="684"/>
      <c r="J25" s="254"/>
      <c r="K25" s="259">
        <v>1</v>
      </c>
      <c r="L25" s="259"/>
      <c r="M25" s="259"/>
      <c r="N25" s="259"/>
      <c r="O25" s="257"/>
      <c r="P25" s="295">
        <v>1</v>
      </c>
      <c r="Q25" s="295"/>
      <c r="R25" s="295">
        <v>1</v>
      </c>
      <c r="S25" s="295">
        <v>1</v>
      </c>
      <c r="T25" s="257" t="s">
        <v>336</v>
      </c>
      <c r="U25" s="296"/>
      <c r="V25" s="296"/>
      <c r="W25" s="296"/>
      <c r="X25" s="296"/>
      <c r="Y25" s="257"/>
      <c r="Z25" s="258"/>
    </row>
    <row r="26" spans="2:26" x14ac:dyDescent="0.3">
      <c r="B26" s="253">
        <v>2</v>
      </c>
      <c r="C26" s="682" t="s">
        <v>360</v>
      </c>
      <c r="D26" s="683"/>
      <c r="E26" s="683"/>
      <c r="F26" s="683"/>
      <c r="G26" s="683"/>
      <c r="H26" s="683"/>
      <c r="I26" s="684"/>
      <c r="J26" s="254"/>
      <c r="K26" s="259"/>
      <c r="L26" s="259">
        <v>1</v>
      </c>
      <c r="M26" s="259"/>
      <c r="N26" s="259"/>
      <c r="O26" s="257"/>
      <c r="P26" s="295">
        <v>1</v>
      </c>
      <c r="Q26" s="295"/>
      <c r="R26" s="295"/>
      <c r="S26" s="295">
        <v>1</v>
      </c>
      <c r="T26" s="257"/>
      <c r="U26" s="296"/>
      <c r="V26" s="296"/>
      <c r="W26" s="296"/>
      <c r="X26" s="296"/>
      <c r="Y26" s="257"/>
      <c r="Z26" s="258"/>
    </row>
    <row r="27" spans="2:26" x14ac:dyDescent="0.3">
      <c r="B27" s="253">
        <v>3</v>
      </c>
      <c r="C27" s="682" t="s">
        <v>361</v>
      </c>
      <c r="D27" s="683"/>
      <c r="E27" s="683"/>
      <c r="F27" s="683"/>
      <c r="G27" s="683"/>
      <c r="H27" s="683"/>
      <c r="I27" s="684"/>
      <c r="J27" s="254"/>
      <c r="K27" s="259"/>
      <c r="L27" s="259">
        <v>1</v>
      </c>
      <c r="M27" s="259"/>
      <c r="N27" s="259"/>
      <c r="O27" s="257"/>
      <c r="P27" s="295"/>
      <c r="Q27" s="295"/>
      <c r="R27" s="295"/>
      <c r="S27" s="295"/>
      <c r="T27" s="257"/>
      <c r="U27" s="296"/>
      <c r="V27" s="296"/>
      <c r="W27" s="296"/>
      <c r="X27" s="296"/>
      <c r="Y27" s="257"/>
      <c r="Z27" s="258"/>
    </row>
    <row r="28" spans="2:26" x14ac:dyDescent="0.3">
      <c r="B28" s="253">
        <v>4</v>
      </c>
      <c r="C28" s="682" t="s">
        <v>362</v>
      </c>
      <c r="D28" s="683"/>
      <c r="E28" s="683"/>
      <c r="F28" s="683"/>
      <c r="G28" s="683"/>
      <c r="H28" s="683"/>
      <c r="I28" s="684"/>
      <c r="J28" s="254"/>
      <c r="K28" s="259"/>
      <c r="L28" s="259">
        <v>250</v>
      </c>
      <c r="M28" s="259">
        <v>500</v>
      </c>
      <c r="N28" s="259">
        <v>250</v>
      </c>
      <c r="O28" s="257">
        <v>1000</v>
      </c>
      <c r="P28" s="295">
        <v>1500</v>
      </c>
      <c r="Q28" s="295">
        <v>1500</v>
      </c>
      <c r="R28" s="295">
        <v>2000</v>
      </c>
      <c r="S28" s="295">
        <v>2000</v>
      </c>
      <c r="T28" s="257">
        <v>7000</v>
      </c>
      <c r="U28" s="296"/>
      <c r="V28" s="296"/>
      <c r="W28" s="296"/>
      <c r="X28" s="296"/>
      <c r="Y28" s="257"/>
      <c r="Z28" s="258"/>
    </row>
    <row r="29" spans="2:26" x14ac:dyDescent="0.3">
      <c r="B29" s="253">
        <v>5</v>
      </c>
      <c r="C29" s="682" t="s">
        <v>363</v>
      </c>
      <c r="D29" s="683"/>
      <c r="E29" s="683"/>
      <c r="F29" s="683"/>
      <c r="G29" s="683"/>
      <c r="H29" s="683"/>
      <c r="I29" s="684"/>
      <c r="J29" s="254"/>
      <c r="K29" s="259"/>
      <c r="L29" s="259"/>
      <c r="M29" s="259">
        <v>20</v>
      </c>
      <c r="N29" s="259"/>
      <c r="O29" s="257">
        <v>20</v>
      </c>
      <c r="P29" s="295"/>
      <c r="Q29" s="295"/>
      <c r="R29" s="295"/>
      <c r="S29" s="295"/>
      <c r="T29" s="257"/>
      <c r="U29" s="296"/>
      <c r="V29" s="296"/>
      <c r="W29" s="296"/>
      <c r="X29" s="296"/>
      <c r="Y29" s="257"/>
      <c r="Z29" s="258"/>
    </row>
    <row r="30" spans="2:26" x14ac:dyDescent="0.3">
      <c r="B30" s="253">
        <v>6</v>
      </c>
      <c r="C30" s="682" t="s">
        <v>364</v>
      </c>
      <c r="D30" s="683"/>
      <c r="E30" s="683"/>
      <c r="F30" s="683"/>
      <c r="G30" s="683"/>
      <c r="H30" s="683"/>
      <c r="I30" s="684"/>
      <c r="J30" s="254"/>
      <c r="K30" s="259"/>
      <c r="L30" s="259"/>
      <c r="M30" s="259"/>
      <c r="N30" s="259"/>
      <c r="O30" s="257"/>
      <c r="P30" s="295">
        <v>40</v>
      </c>
      <c r="Q30" s="295"/>
      <c r="R30" s="295">
        <v>75</v>
      </c>
      <c r="S30" s="295">
        <v>110</v>
      </c>
      <c r="T30" s="257">
        <v>110</v>
      </c>
      <c r="U30" s="296"/>
      <c r="V30" s="296">
        <v>1</v>
      </c>
      <c r="W30" s="296"/>
      <c r="X30" s="296"/>
      <c r="Y30" s="257">
        <v>110</v>
      </c>
      <c r="Z30" s="258">
        <v>110</v>
      </c>
    </row>
    <row r="31" spans="2:26" x14ac:dyDescent="0.3">
      <c r="B31" s="253">
        <v>7</v>
      </c>
      <c r="C31" s="682" t="s">
        <v>365</v>
      </c>
      <c r="D31" s="683"/>
      <c r="E31" s="683"/>
      <c r="F31" s="683"/>
      <c r="G31" s="683"/>
      <c r="H31" s="683"/>
      <c r="I31" s="684"/>
      <c r="J31" s="254"/>
      <c r="K31" s="259"/>
      <c r="L31" s="259"/>
      <c r="M31" s="259"/>
      <c r="N31" s="259"/>
      <c r="O31" s="257"/>
      <c r="P31" s="295">
        <v>60</v>
      </c>
      <c r="Q31" s="295">
        <v>60</v>
      </c>
      <c r="R31" s="295">
        <v>110</v>
      </c>
      <c r="S31" s="295">
        <v>110</v>
      </c>
      <c r="T31" s="257">
        <v>110</v>
      </c>
      <c r="U31" s="296">
        <v>109</v>
      </c>
      <c r="V31" s="296">
        <v>109</v>
      </c>
      <c r="W31" s="296">
        <v>109</v>
      </c>
      <c r="X31" s="296">
        <v>109</v>
      </c>
      <c r="Y31" s="257">
        <v>110</v>
      </c>
      <c r="Z31" s="258">
        <v>110</v>
      </c>
    </row>
    <row r="32" spans="2:26" x14ac:dyDescent="0.3">
      <c r="B32" s="253">
        <v>8</v>
      </c>
      <c r="C32" s="682" t="s">
        <v>366</v>
      </c>
      <c r="D32" s="683"/>
      <c r="E32" s="683"/>
      <c r="F32" s="683"/>
      <c r="G32" s="683"/>
      <c r="H32" s="683"/>
      <c r="I32" s="684"/>
      <c r="J32" s="254"/>
      <c r="K32" s="259"/>
      <c r="L32" s="259"/>
      <c r="M32" s="259"/>
      <c r="N32" s="259"/>
      <c r="O32" s="257"/>
      <c r="P32" s="295">
        <v>1</v>
      </c>
      <c r="Q32" s="295"/>
      <c r="R32" s="295">
        <v>1</v>
      </c>
      <c r="S32" s="295"/>
      <c r="T32" s="257"/>
      <c r="U32" s="296"/>
      <c r="V32" s="296"/>
      <c r="W32" s="296">
        <v>1</v>
      </c>
      <c r="X32" s="296"/>
      <c r="Y32" s="257"/>
      <c r="Z32" s="258"/>
    </row>
    <row r="33" spans="2:26" x14ac:dyDescent="0.3">
      <c r="B33" s="253">
        <v>9</v>
      </c>
      <c r="C33" s="682" t="s">
        <v>367</v>
      </c>
      <c r="D33" s="683"/>
      <c r="E33" s="683"/>
      <c r="F33" s="683"/>
      <c r="G33" s="683"/>
      <c r="H33" s="683"/>
      <c r="I33" s="684"/>
      <c r="J33" s="254"/>
      <c r="K33" s="259"/>
      <c r="L33" s="259"/>
      <c r="M33" s="259"/>
      <c r="N33" s="259"/>
      <c r="O33" s="257"/>
      <c r="P33" s="295"/>
      <c r="Q33" s="295"/>
      <c r="R33" s="295"/>
      <c r="S33" s="295"/>
      <c r="T33" s="257"/>
      <c r="U33" s="296"/>
      <c r="V33" s="296"/>
      <c r="W33" s="296">
        <v>1</v>
      </c>
      <c r="X33" s="296"/>
      <c r="Y33" s="257"/>
      <c r="Z33" s="258"/>
    </row>
    <row r="34" spans="2:26" x14ac:dyDescent="0.3"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2:26" x14ac:dyDescent="0.3">
      <c r="B35" s="297" t="s">
        <v>349</v>
      </c>
      <c r="C35" s="715" t="str">
        <f>C3</f>
        <v>Scale up SMS logger to all cold chain points in Bihar and Uttar Pradesh</v>
      </c>
      <c r="D35" s="716"/>
      <c r="E35" s="716"/>
      <c r="F35" s="716"/>
      <c r="G35" s="716"/>
      <c r="H35" s="716"/>
      <c r="I35" s="717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2:26" x14ac:dyDescent="0.3">
      <c r="B36" s="253"/>
      <c r="C36" s="253"/>
      <c r="D36" s="253"/>
      <c r="E36" s="253"/>
      <c r="F36" s="253"/>
      <c r="G36" s="253"/>
      <c r="H36" s="253"/>
      <c r="I36" s="253"/>
      <c r="J36" s="254"/>
      <c r="K36" s="718" t="s">
        <v>26</v>
      </c>
      <c r="L36" s="718"/>
      <c r="M36" s="718"/>
      <c r="N36" s="718"/>
      <c r="O36" s="301"/>
      <c r="P36" s="723" t="s">
        <v>27</v>
      </c>
      <c r="Q36" s="724"/>
      <c r="R36" s="724"/>
      <c r="S36" s="725"/>
      <c r="T36" s="302"/>
      <c r="U36" s="719" t="s">
        <v>28</v>
      </c>
      <c r="V36" s="720"/>
      <c r="W36" s="720"/>
      <c r="X36" s="721"/>
      <c r="Y36" s="303"/>
      <c r="Z36" s="282"/>
    </row>
    <row r="37" spans="2:26" x14ac:dyDescent="0.3">
      <c r="B37" s="253"/>
      <c r="C37" s="253" t="s">
        <v>35</v>
      </c>
      <c r="D37" s="274" t="s">
        <v>50</v>
      </c>
      <c r="E37" s="274" t="s">
        <v>51</v>
      </c>
      <c r="F37" s="274" t="s">
        <v>52</v>
      </c>
      <c r="G37" s="274" t="s">
        <v>53</v>
      </c>
      <c r="H37" s="274" t="s">
        <v>54</v>
      </c>
      <c r="I37" s="274" t="s">
        <v>55</v>
      </c>
      <c r="J37" s="254"/>
      <c r="K37" s="304" t="s">
        <v>36</v>
      </c>
      <c r="L37" s="304" t="s">
        <v>37</v>
      </c>
      <c r="M37" s="304" t="s">
        <v>38</v>
      </c>
      <c r="N37" s="304" t="s">
        <v>39</v>
      </c>
      <c r="O37" s="303" t="s">
        <v>9</v>
      </c>
      <c r="P37" s="305" t="s">
        <v>36</v>
      </c>
      <c r="Q37" s="305" t="s">
        <v>37</v>
      </c>
      <c r="R37" s="305" t="s">
        <v>38</v>
      </c>
      <c r="S37" s="305" t="s">
        <v>39</v>
      </c>
      <c r="T37" s="303" t="s">
        <v>9</v>
      </c>
      <c r="U37" s="306" t="s">
        <v>36</v>
      </c>
      <c r="V37" s="306" t="s">
        <v>37</v>
      </c>
      <c r="W37" s="306" t="s">
        <v>38</v>
      </c>
      <c r="X37" s="306" t="s">
        <v>39</v>
      </c>
      <c r="Y37" s="303" t="s">
        <v>9</v>
      </c>
      <c r="Z37" s="282" t="s">
        <v>40</v>
      </c>
    </row>
    <row r="38" spans="2:26" x14ac:dyDescent="0.3">
      <c r="B38" s="253" t="s">
        <v>349</v>
      </c>
      <c r="C38" s="245" t="str">
        <f t="shared" ref="C38:C50" si="2">C10</f>
        <v>Scale up SMS logger to all cold chain points in Bihar and Uttar Pradesh</v>
      </c>
      <c r="D38" s="307"/>
      <c r="E38" s="307"/>
      <c r="F38" s="307"/>
      <c r="G38" s="307"/>
      <c r="H38" s="307"/>
      <c r="I38" s="307"/>
      <c r="J38" s="254"/>
      <c r="K38" s="304"/>
      <c r="L38" s="304"/>
      <c r="M38" s="304"/>
      <c r="N38" s="304"/>
      <c r="O38" s="303"/>
      <c r="P38" s="305"/>
      <c r="Q38" s="305"/>
      <c r="R38" s="305"/>
      <c r="S38" s="305"/>
      <c r="T38" s="303"/>
      <c r="U38" s="306"/>
      <c r="V38" s="306"/>
      <c r="W38" s="306"/>
      <c r="X38" s="306"/>
      <c r="Y38" s="303"/>
      <c r="Z38" s="282"/>
    </row>
    <row r="39" spans="2:26" x14ac:dyDescent="0.3">
      <c r="B39" s="253">
        <f>B11</f>
        <v>1</v>
      </c>
      <c r="C39" s="253" t="str">
        <f t="shared" si="2"/>
        <v>Idenfication of the district and cold chain points</v>
      </c>
      <c r="D39" s="274">
        <v>0</v>
      </c>
      <c r="E39" s="274">
        <v>0</v>
      </c>
      <c r="F39" s="274">
        <v>1</v>
      </c>
      <c r="G39" s="308"/>
      <c r="H39" s="274">
        <f>D39*E39*F39*G39</f>
        <v>0</v>
      </c>
      <c r="I39" s="274">
        <f>H39/56</f>
        <v>0</v>
      </c>
      <c r="J39" s="254"/>
      <c r="K39" s="304">
        <v>0</v>
      </c>
      <c r="L39" s="304"/>
      <c r="M39" s="304"/>
      <c r="N39" s="304"/>
      <c r="O39" s="303">
        <f>SUM(K39:N39)</f>
        <v>0</v>
      </c>
      <c r="P39" s="305"/>
      <c r="Q39" s="305"/>
      <c r="R39" s="305"/>
      <c r="S39" s="305"/>
      <c r="T39" s="303">
        <f>P39+Q39+R39+S39</f>
        <v>0</v>
      </c>
      <c r="U39" s="306"/>
      <c r="V39" s="306"/>
      <c r="W39" s="306"/>
      <c r="X39" s="306"/>
      <c r="Y39" s="303">
        <f>U39+V39+W39+X39</f>
        <v>0</v>
      </c>
      <c r="Z39" s="282">
        <f>O39+T39+Y39</f>
        <v>0</v>
      </c>
    </row>
    <row r="40" spans="2:26" x14ac:dyDescent="0.3">
      <c r="B40" s="253">
        <f t="shared" ref="B40:B50" si="3">B12</f>
        <v>2</v>
      </c>
      <c r="C40" s="253" t="str">
        <f t="shared" si="2"/>
        <v>Development of the TOR</v>
      </c>
      <c r="D40" s="274">
        <v>0</v>
      </c>
      <c r="E40" s="274">
        <v>0</v>
      </c>
      <c r="F40" s="274">
        <v>1</v>
      </c>
      <c r="G40" s="308"/>
      <c r="H40" s="274">
        <f t="shared" ref="H40:H50" si="4">D40*E40*F40*G40</f>
        <v>0</v>
      </c>
      <c r="I40" s="274">
        <f t="shared" ref="I40" si="5">H40/56</f>
        <v>0</v>
      </c>
      <c r="J40" s="254"/>
      <c r="K40" s="304">
        <v>0</v>
      </c>
      <c r="L40" s="304"/>
      <c r="M40" s="304"/>
      <c r="N40" s="304"/>
      <c r="O40" s="303">
        <f t="shared" ref="O40:O50" si="6">SUM(K40:N40)</f>
        <v>0</v>
      </c>
      <c r="P40" s="305"/>
      <c r="Q40" s="305"/>
      <c r="R40" s="305"/>
      <c r="S40" s="305"/>
      <c r="T40" s="303">
        <f t="shared" ref="T40:T50" si="7">P40+Q40+R40+S40</f>
        <v>0</v>
      </c>
      <c r="U40" s="306"/>
      <c r="V40" s="306"/>
      <c r="W40" s="306"/>
      <c r="X40" s="306"/>
      <c r="Y40" s="303">
        <f t="shared" ref="Y40:Y48" si="8">U40+V40+W40+X40</f>
        <v>0</v>
      </c>
      <c r="Z40" s="282">
        <f t="shared" ref="Z40:Z48" si="9">O40+T40+Y40</f>
        <v>0</v>
      </c>
    </row>
    <row r="41" spans="2:26" x14ac:dyDescent="0.3">
      <c r="B41" s="253">
        <f t="shared" si="3"/>
        <v>3</v>
      </c>
      <c r="C41" s="253" t="str">
        <f t="shared" si="2"/>
        <v>Identification of Implementing agency</v>
      </c>
      <c r="D41" s="274">
        <v>100000</v>
      </c>
      <c r="E41" s="274">
        <v>1</v>
      </c>
      <c r="F41" s="274">
        <v>1</v>
      </c>
      <c r="G41" s="308">
        <v>1</v>
      </c>
      <c r="H41" s="274">
        <f t="shared" si="4"/>
        <v>100000</v>
      </c>
      <c r="I41" s="274">
        <f t="shared" ref="I41:I50" si="10">H41/54</f>
        <v>1851.851851851852</v>
      </c>
      <c r="J41" s="254"/>
      <c r="K41" s="304">
        <f>I41*K14</f>
        <v>3703.7037037037039</v>
      </c>
      <c r="L41" s="304"/>
      <c r="M41" s="304"/>
      <c r="N41" s="304"/>
      <c r="O41" s="303">
        <f t="shared" si="6"/>
        <v>3703.7037037037039</v>
      </c>
      <c r="P41" s="305"/>
      <c r="Q41" s="305"/>
      <c r="R41" s="305"/>
      <c r="S41" s="305"/>
      <c r="T41" s="303">
        <f t="shared" si="7"/>
        <v>0</v>
      </c>
      <c r="U41" s="306"/>
      <c r="V41" s="306"/>
      <c r="W41" s="306"/>
      <c r="X41" s="306"/>
      <c r="Y41" s="303">
        <f t="shared" si="8"/>
        <v>0</v>
      </c>
      <c r="Z41" s="282">
        <f t="shared" si="9"/>
        <v>3703.7037037037039</v>
      </c>
    </row>
    <row r="42" spans="2:26" x14ac:dyDescent="0.3">
      <c r="B42" s="253">
        <f t="shared" si="3"/>
        <v>4</v>
      </c>
      <c r="C42" s="253" t="str">
        <f t="shared" si="2"/>
        <v>Preparatory Assessments</v>
      </c>
      <c r="D42" s="274">
        <v>500000</v>
      </c>
      <c r="E42" s="274">
        <v>1</v>
      </c>
      <c r="F42" s="274">
        <v>1</v>
      </c>
      <c r="G42" s="308">
        <v>1</v>
      </c>
      <c r="H42" s="274">
        <f t="shared" si="4"/>
        <v>500000</v>
      </c>
      <c r="I42" s="274">
        <f t="shared" si="10"/>
        <v>9259.2592592592591</v>
      </c>
      <c r="J42" s="254"/>
      <c r="K42" s="304">
        <f>I42*K14</f>
        <v>18518.518518518518</v>
      </c>
      <c r="L42" s="304"/>
      <c r="M42" s="304"/>
      <c r="N42" s="304"/>
      <c r="O42" s="303">
        <f t="shared" si="6"/>
        <v>18518.518518518518</v>
      </c>
      <c r="P42" s="305"/>
      <c r="Q42" s="305"/>
      <c r="R42" s="305"/>
      <c r="S42" s="305"/>
      <c r="T42" s="303">
        <f t="shared" si="7"/>
        <v>0</v>
      </c>
      <c r="U42" s="306"/>
      <c r="V42" s="306"/>
      <c r="W42" s="306"/>
      <c r="X42" s="306"/>
      <c r="Y42" s="303">
        <f t="shared" si="8"/>
        <v>0</v>
      </c>
      <c r="Z42" s="282">
        <f t="shared" si="9"/>
        <v>18518.518518518518</v>
      </c>
    </row>
    <row r="43" spans="2:26" x14ac:dyDescent="0.3">
      <c r="B43" s="253">
        <f t="shared" si="3"/>
        <v>5</v>
      </c>
      <c r="C43" s="253" t="str">
        <f t="shared" si="2"/>
        <v>Development of operational Plans</v>
      </c>
      <c r="D43" s="274">
        <v>100000</v>
      </c>
      <c r="E43" s="274">
        <v>1</v>
      </c>
      <c r="F43" s="274">
        <v>1</v>
      </c>
      <c r="G43" s="308">
        <v>1</v>
      </c>
      <c r="H43" s="274">
        <f t="shared" si="4"/>
        <v>100000</v>
      </c>
      <c r="I43" s="284">
        <f t="shared" si="10"/>
        <v>1851.851851851852</v>
      </c>
      <c r="J43" s="254"/>
      <c r="K43" s="304">
        <f>I43*K15</f>
        <v>3703.7037037037039</v>
      </c>
      <c r="L43" s="304"/>
      <c r="M43" s="304"/>
      <c r="N43" s="304"/>
      <c r="O43" s="303">
        <f t="shared" si="6"/>
        <v>3703.7037037037039</v>
      </c>
      <c r="P43" s="305"/>
      <c r="Q43" s="305"/>
      <c r="R43" s="305"/>
      <c r="S43" s="305"/>
      <c r="T43" s="303">
        <f t="shared" si="7"/>
        <v>0</v>
      </c>
      <c r="U43" s="306"/>
      <c r="V43" s="306"/>
      <c r="W43" s="306"/>
      <c r="X43" s="306"/>
      <c r="Y43" s="303">
        <f t="shared" si="8"/>
        <v>0</v>
      </c>
      <c r="Z43" s="282">
        <f t="shared" si="9"/>
        <v>3703.7037037037039</v>
      </c>
    </row>
    <row r="44" spans="2:26" x14ac:dyDescent="0.3">
      <c r="B44" s="253">
        <f t="shared" si="3"/>
        <v>6</v>
      </c>
      <c r="C44" s="253" t="str">
        <f t="shared" si="2"/>
        <v>Device Cost</v>
      </c>
      <c r="D44" s="274">
        <v>4500</v>
      </c>
      <c r="E44" s="274">
        <v>1</v>
      </c>
      <c r="F44" s="274">
        <v>1</v>
      </c>
      <c r="G44" s="308">
        <v>1</v>
      </c>
      <c r="H44" s="274">
        <f t="shared" si="4"/>
        <v>4500</v>
      </c>
      <c r="I44" s="274">
        <f t="shared" si="10"/>
        <v>83.333333333333329</v>
      </c>
      <c r="J44" s="254"/>
      <c r="K44" s="304"/>
      <c r="L44" s="304">
        <f>I44*L16</f>
        <v>20833.333333333332</v>
      </c>
      <c r="M44" s="304">
        <f>I44*M16</f>
        <v>41666.666666666664</v>
      </c>
      <c r="N44" s="304">
        <f>I44*N16</f>
        <v>20833.333333333332</v>
      </c>
      <c r="O44" s="303">
        <f t="shared" si="6"/>
        <v>83333.333333333328</v>
      </c>
      <c r="P44" s="305">
        <f>I44*P16</f>
        <v>125000</v>
      </c>
      <c r="Q44" s="305">
        <f>I44*Q16</f>
        <v>125000</v>
      </c>
      <c r="R44" s="305">
        <f t="shared" ref="R44:R50" si="11">I44*R16</f>
        <v>166666.66666666666</v>
      </c>
      <c r="S44" s="305">
        <f>I44*S16</f>
        <v>166666.66666666666</v>
      </c>
      <c r="T44" s="303">
        <f t="shared" si="7"/>
        <v>583333.33333333326</v>
      </c>
      <c r="U44" s="306"/>
      <c r="V44" s="306"/>
      <c r="W44" s="306"/>
      <c r="X44" s="306"/>
      <c r="Y44" s="303">
        <f t="shared" si="8"/>
        <v>0</v>
      </c>
      <c r="Z44" s="282">
        <f t="shared" si="9"/>
        <v>666666.66666666663</v>
      </c>
    </row>
    <row r="45" spans="2:26" x14ac:dyDescent="0.3">
      <c r="B45" s="253">
        <f t="shared" si="3"/>
        <v>7</v>
      </c>
      <c r="C45" s="253" t="str">
        <f t="shared" si="2"/>
        <v>Installation cost</v>
      </c>
      <c r="D45" s="274">
        <v>1400</v>
      </c>
      <c r="E45" s="274">
        <v>1</v>
      </c>
      <c r="F45" s="274">
        <v>1</v>
      </c>
      <c r="G45" s="308">
        <v>1</v>
      </c>
      <c r="H45" s="274">
        <f t="shared" si="4"/>
        <v>1400</v>
      </c>
      <c r="I45" s="274">
        <f t="shared" si="10"/>
        <v>25.925925925925927</v>
      </c>
      <c r="J45" s="254"/>
      <c r="K45" s="304">
        <f>I45*K17</f>
        <v>0</v>
      </c>
      <c r="L45" s="304">
        <f>I45*L17</f>
        <v>6481.4814814814818</v>
      </c>
      <c r="M45" s="304">
        <f>I45*M17</f>
        <v>12962.962962962964</v>
      </c>
      <c r="N45" s="304">
        <f>I45*N18</f>
        <v>25925.925925925927</v>
      </c>
      <c r="O45" s="303">
        <f t="shared" si="6"/>
        <v>45370.370370370372</v>
      </c>
      <c r="P45" s="305">
        <f>I45*P17</f>
        <v>38888.888888888891</v>
      </c>
      <c r="Q45" s="305">
        <f>I45*Q17</f>
        <v>38888.888888888891</v>
      </c>
      <c r="R45" s="305">
        <f t="shared" si="11"/>
        <v>51851.851851851854</v>
      </c>
      <c r="S45" s="305">
        <f>I45*S17</f>
        <v>51851.851851851854</v>
      </c>
      <c r="T45" s="303">
        <f t="shared" si="7"/>
        <v>181481.48148148149</v>
      </c>
      <c r="U45" s="306"/>
      <c r="V45" s="306"/>
      <c r="W45" s="306"/>
      <c r="X45" s="306"/>
      <c r="Y45" s="303">
        <f t="shared" si="8"/>
        <v>0</v>
      </c>
      <c r="Z45" s="282">
        <f t="shared" si="9"/>
        <v>226851.85185185185</v>
      </c>
    </row>
    <row r="46" spans="2:26" x14ac:dyDescent="0.3">
      <c r="B46" s="253">
        <f t="shared" si="3"/>
        <v>8</v>
      </c>
      <c r="C46" s="253" t="str">
        <f t="shared" si="2"/>
        <v>Running cost (includes website cost, SMS usage cost, etc.)</v>
      </c>
      <c r="D46" s="274">
        <v>1000</v>
      </c>
      <c r="E46" s="274">
        <v>1</v>
      </c>
      <c r="F46" s="274">
        <v>1</v>
      </c>
      <c r="G46" s="308">
        <v>1</v>
      </c>
      <c r="H46" s="274">
        <f>D46*E46*F46*G46</f>
        <v>1000</v>
      </c>
      <c r="I46" s="274">
        <f t="shared" si="10"/>
        <v>18.518518518518519</v>
      </c>
      <c r="J46" s="254"/>
      <c r="K46" s="304">
        <f>I46*K18</f>
        <v>0</v>
      </c>
      <c r="L46" s="304">
        <f>I46*L18</f>
        <v>4629.6296296296296</v>
      </c>
      <c r="M46" s="304">
        <f>I46*M18</f>
        <v>13888.888888888889</v>
      </c>
      <c r="N46" s="304">
        <f>I46*N19</f>
        <v>4629.6296296296296</v>
      </c>
      <c r="O46" s="303">
        <f t="shared" si="6"/>
        <v>23148.148148148146</v>
      </c>
      <c r="P46" s="305">
        <f>I46*P18</f>
        <v>46296.296296296299</v>
      </c>
      <c r="Q46" s="305">
        <f>Q18</f>
        <v>4000</v>
      </c>
      <c r="R46" s="305">
        <f t="shared" si="11"/>
        <v>111111.11111111111</v>
      </c>
      <c r="S46" s="305">
        <f>I46*S18</f>
        <v>148148.14814814815</v>
      </c>
      <c r="T46" s="303">
        <f t="shared" si="7"/>
        <v>309555.55555555556</v>
      </c>
      <c r="U46" s="306">
        <f>I46*U18</f>
        <v>148148.14814814815</v>
      </c>
      <c r="V46" s="306">
        <f>I46*V18</f>
        <v>148148.14814814815</v>
      </c>
      <c r="W46" s="306">
        <f>I46*W18</f>
        <v>148148.14814814815</v>
      </c>
      <c r="X46" s="306">
        <f>W46</f>
        <v>148148.14814814815</v>
      </c>
      <c r="Y46" s="303">
        <f t="shared" si="8"/>
        <v>592592.59259259258</v>
      </c>
      <c r="Z46" s="282">
        <f t="shared" si="9"/>
        <v>925296.29629629629</v>
      </c>
    </row>
    <row r="47" spans="2:26" x14ac:dyDescent="0.3">
      <c r="B47" s="253">
        <f t="shared" si="3"/>
        <v>9</v>
      </c>
      <c r="C47" s="253" t="str">
        <f t="shared" si="2"/>
        <v>Annual Maintainace Cost</v>
      </c>
      <c r="D47" s="274">
        <v>700</v>
      </c>
      <c r="E47" s="274">
        <v>1</v>
      </c>
      <c r="F47" s="274">
        <v>1</v>
      </c>
      <c r="G47" s="308">
        <v>1</v>
      </c>
      <c r="H47" s="274">
        <f t="shared" si="4"/>
        <v>700</v>
      </c>
      <c r="I47" s="274">
        <f t="shared" si="10"/>
        <v>12.962962962962964</v>
      </c>
      <c r="J47" s="254"/>
      <c r="K47" s="304">
        <v>0</v>
      </c>
      <c r="L47" s="304">
        <f>I47*L20</f>
        <v>3240.7407407407409</v>
      </c>
      <c r="M47" s="304">
        <f>I47*M20</f>
        <v>9722.2222222222226</v>
      </c>
      <c r="N47" s="304">
        <f>I47*N20</f>
        <v>12962.962962962964</v>
      </c>
      <c r="O47" s="303">
        <f t="shared" si="6"/>
        <v>25925.925925925927</v>
      </c>
      <c r="P47" s="305">
        <f>I47*P19</f>
        <v>19444.444444444445</v>
      </c>
      <c r="Q47" s="305">
        <f>I47*Q19</f>
        <v>22685.185185185186</v>
      </c>
      <c r="R47" s="305">
        <f t="shared" si="11"/>
        <v>32407.407407407409</v>
      </c>
      <c r="S47" s="305">
        <f>I47*S19</f>
        <v>29166.666666666668</v>
      </c>
      <c r="T47" s="303">
        <f t="shared" si="7"/>
        <v>103703.70370370372</v>
      </c>
      <c r="U47" s="306">
        <f>I47*U19</f>
        <v>32407.407407407409</v>
      </c>
      <c r="V47" s="306">
        <f>I47*V19</f>
        <v>51851.851851851854</v>
      </c>
      <c r="W47" s="306">
        <f>I47*W19</f>
        <v>77777.777777777781</v>
      </c>
      <c r="X47" s="306">
        <f>I47*X19</f>
        <v>103703.70370370371</v>
      </c>
      <c r="Y47" s="303">
        <f t="shared" si="8"/>
        <v>265740.74074074079</v>
      </c>
      <c r="Z47" s="282">
        <f t="shared" si="9"/>
        <v>395370.37037037045</v>
      </c>
    </row>
    <row r="48" spans="2:26" x14ac:dyDescent="0.3">
      <c r="B48" s="253">
        <f t="shared" si="3"/>
        <v>10</v>
      </c>
      <c r="C48" s="253" t="str">
        <f t="shared" si="2"/>
        <v>Monitoring &amp; Feedback</v>
      </c>
      <c r="D48" s="274">
        <v>700</v>
      </c>
      <c r="E48" s="274">
        <v>1</v>
      </c>
      <c r="F48" s="274">
        <v>1</v>
      </c>
      <c r="G48" s="308">
        <v>1</v>
      </c>
      <c r="H48" s="274">
        <f t="shared" si="4"/>
        <v>700</v>
      </c>
      <c r="I48" s="274">
        <f t="shared" si="10"/>
        <v>12.962962962962964</v>
      </c>
      <c r="J48" s="254"/>
      <c r="K48" s="304">
        <v>0</v>
      </c>
      <c r="L48" s="304">
        <f>I48*L20</f>
        <v>3240.7407407407409</v>
      </c>
      <c r="M48" s="304">
        <f>+I48*M20</f>
        <v>9722.2222222222226</v>
      </c>
      <c r="N48" s="304">
        <f>I48*N20</f>
        <v>12962.962962962964</v>
      </c>
      <c r="O48" s="303">
        <f t="shared" si="6"/>
        <v>25925.925925925927</v>
      </c>
      <c r="P48" s="305">
        <f>I48*P20</f>
        <v>32407.407407407409</v>
      </c>
      <c r="Q48" s="305">
        <f>I48*Q20</f>
        <v>51851.851851851854</v>
      </c>
      <c r="R48" s="305">
        <f t="shared" si="11"/>
        <v>77777.777777777781</v>
      </c>
      <c r="S48" s="305">
        <f>I48*S20</f>
        <v>103703.70370370371</v>
      </c>
      <c r="T48" s="303">
        <f t="shared" si="7"/>
        <v>265740.74074074079</v>
      </c>
      <c r="U48" s="306">
        <f>I48*U20</f>
        <v>103703.70370370371</v>
      </c>
      <c r="V48" s="306">
        <f>U48</f>
        <v>103703.70370370371</v>
      </c>
      <c r="W48" s="306">
        <f t="shared" ref="W48:X48" si="12">V48</f>
        <v>103703.70370370371</v>
      </c>
      <c r="X48" s="306">
        <f t="shared" si="12"/>
        <v>103703.70370370371</v>
      </c>
      <c r="Y48" s="303">
        <f t="shared" si="8"/>
        <v>414814.81481481483</v>
      </c>
      <c r="Z48" s="282">
        <f t="shared" si="9"/>
        <v>706481.48148148158</v>
      </c>
    </row>
    <row r="49" spans="2:26" x14ac:dyDescent="0.3">
      <c r="B49" s="253">
        <f t="shared" si="3"/>
        <v>11</v>
      </c>
      <c r="C49" s="253" t="str">
        <f t="shared" si="2"/>
        <v>Research &amp; Development</v>
      </c>
      <c r="D49" s="274">
        <v>250000</v>
      </c>
      <c r="E49" s="274">
        <v>1</v>
      </c>
      <c r="F49" s="274">
        <v>1</v>
      </c>
      <c r="G49" s="308">
        <v>1</v>
      </c>
      <c r="H49" s="274">
        <f t="shared" si="4"/>
        <v>250000</v>
      </c>
      <c r="I49" s="274">
        <f t="shared" si="10"/>
        <v>4629.6296296296296</v>
      </c>
      <c r="J49" s="254"/>
      <c r="K49" s="304"/>
      <c r="L49" s="304"/>
      <c r="M49" s="304">
        <f>I49*M21</f>
        <v>4629.6296296296296</v>
      </c>
      <c r="N49" s="304"/>
      <c r="O49" s="303">
        <f t="shared" si="6"/>
        <v>4629.6296296296296</v>
      </c>
      <c r="P49" s="305"/>
      <c r="Q49" s="305"/>
      <c r="R49" s="305">
        <f t="shared" si="11"/>
        <v>4629.6296296296296</v>
      </c>
      <c r="S49" s="305"/>
      <c r="T49" s="303">
        <f t="shared" si="7"/>
        <v>4629.6296296296296</v>
      </c>
      <c r="U49" s="306"/>
      <c r="V49" s="306"/>
      <c r="W49" s="306">
        <f>I49*W21</f>
        <v>4629.6296296296296</v>
      </c>
      <c r="X49" s="306"/>
      <c r="Y49" s="303"/>
      <c r="Z49" s="282">
        <f>O49+T49+Y49</f>
        <v>9259.2592592592591</v>
      </c>
    </row>
    <row r="50" spans="2:26" x14ac:dyDescent="0.3">
      <c r="B50" s="253">
        <f t="shared" si="3"/>
        <v>12</v>
      </c>
      <c r="C50" s="253" t="str">
        <f t="shared" si="2"/>
        <v>Evaluation &amp; Assessment</v>
      </c>
      <c r="D50" s="274">
        <v>100000</v>
      </c>
      <c r="E50" s="274">
        <v>1</v>
      </c>
      <c r="F50" s="274">
        <v>1</v>
      </c>
      <c r="G50" s="308">
        <v>1</v>
      </c>
      <c r="H50" s="274">
        <f t="shared" si="4"/>
        <v>100000</v>
      </c>
      <c r="I50" s="284">
        <f t="shared" si="10"/>
        <v>1851.851851851852</v>
      </c>
      <c r="J50" s="254"/>
      <c r="K50" s="304"/>
      <c r="L50" s="304"/>
      <c r="M50" s="304">
        <f>I50*M22</f>
        <v>92592.592592592599</v>
      </c>
      <c r="N50" s="304"/>
      <c r="O50" s="303">
        <f t="shared" si="6"/>
        <v>92592.592592592599</v>
      </c>
      <c r="P50" s="305">
        <f>I50*P22</f>
        <v>185185.1851851852</v>
      </c>
      <c r="Q50" s="305"/>
      <c r="R50" s="305">
        <f t="shared" si="11"/>
        <v>185185.1851851852</v>
      </c>
      <c r="S50" s="305"/>
      <c r="T50" s="303">
        <f t="shared" si="7"/>
        <v>370370.37037037039</v>
      </c>
      <c r="U50" s="306">
        <f>I50*U20</f>
        <v>14814814.814814815</v>
      </c>
      <c r="V50" s="306"/>
      <c r="W50" s="306">
        <f>I50*W20</f>
        <v>14814814.814814815</v>
      </c>
      <c r="X50" s="306"/>
      <c r="Y50" s="303"/>
      <c r="Z50" s="282">
        <f>O50+T50+Y50</f>
        <v>462962.96296296298</v>
      </c>
    </row>
    <row r="51" spans="2:26" x14ac:dyDescent="0.3">
      <c r="B51" s="309"/>
      <c r="C51" s="309" t="s">
        <v>56</v>
      </c>
      <c r="D51" s="310"/>
      <c r="E51" s="310"/>
      <c r="F51" s="310"/>
      <c r="G51" s="310"/>
      <c r="H51" s="310"/>
      <c r="I51" s="310"/>
      <c r="J51" s="534"/>
      <c r="K51" s="310">
        <f>SUM(K39:K50)</f>
        <v>25925.925925925927</v>
      </c>
      <c r="L51" s="310">
        <f t="shared" ref="L51:Z51" si="13">SUM(L39:L50)</f>
        <v>38425.925925925927</v>
      </c>
      <c r="M51" s="310">
        <f t="shared" si="13"/>
        <v>185185.18518518517</v>
      </c>
      <c r="N51" s="310">
        <f t="shared" si="13"/>
        <v>77314.814814814803</v>
      </c>
      <c r="O51" s="310">
        <f t="shared" si="13"/>
        <v>326851.85185185185</v>
      </c>
      <c r="P51" s="310">
        <f t="shared" si="13"/>
        <v>447222.22222222225</v>
      </c>
      <c r="Q51" s="310">
        <f t="shared" si="13"/>
        <v>242425.92592592593</v>
      </c>
      <c r="R51" s="310">
        <f t="shared" si="13"/>
        <v>629629.62962962966</v>
      </c>
      <c r="S51" s="310">
        <f t="shared" si="13"/>
        <v>499537.03703703702</v>
      </c>
      <c r="T51" s="310">
        <f t="shared" si="13"/>
        <v>1818814.8148148148</v>
      </c>
      <c r="U51" s="310">
        <f t="shared" si="13"/>
        <v>15099074.074074075</v>
      </c>
      <c r="V51" s="310">
        <f t="shared" si="13"/>
        <v>303703.70370370371</v>
      </c>
      <c r="W51" s="310">
        <f t="shared" si="13"/>
        <v>15149074.074074075</v>
      </c>
      <c r="X51" s="310">
        <f t="shared" si="13"/>
        <v>355555.55555555556</v>
      </c>
      <c r="Y51" s="310">
        <f t="shared" si="13"/>
        <v>1273148.1481481483</v>
      </c>
      <c r="Z51" s="310">
        <f t="shared" si="13"/>
        <v>3418814.8148148148</v>
      </c>
    </row>
    <row r="52" spans="2:26" s="300" customFormat="1" ht="28.8" x14ac:dyDescent="0.3">
      <c r="B52" s="526" t="s">
        <v>501</v>
      </c>
      <c r="C52" s="715" t="str">
        <f>C4</f>
        <v>Pilot and scale up monitoring systems at all levels (UP &amp; Bihar) to monitor real-time vaccine stock situations, status of equipment and other transactions</v>
      </c>
      <c r="D52" s="716"/>
      <c r="E52" s="716"/>
      <c r="F52" s="716"/>
      <c r="G52" s="716"/>
      <c r="H52" s="716"/>
      <c r="I52" s="717"/>
      <c r="J52" s="534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</row>
    <row r="53" spans="2:26" s="300" customFormat="1" x14ac:dyDescent="0.3">
      <c r="B53" s="527"/>
      <c r="C53" s="263"/>
      <c r="D53" s="274" t="s">
        <v>50</v>
      </c>
      <c r="E53" s="274" t="s">
        <v>51</v>
      </c>
      <c r="F53" s="274" t="s">
        <v>52</v>
      </c>
      <c r="G53" s="274" t="s">
        <v>53</v>
      </c>
      <c r="H53" s="274" t="s">
        <v>54</v>
      </c>
      <c r="I53" s="274" t="s">
        <v>55</v>
      </c>
      <c r="J53" s="533"/>
      <c r="K53" s="313"/>
      <c r="L53" s="313"/>
      <c r="M53" s="313"/>
      <c r="N53" s="313"/>
      <c r="O53" s="314"/>
      <c r="P53" s="312"/>
      <c r="Q53" s="312"/>
      <c r="R53" s="312"/>
      <c r="S53" s="312"/>
      <c r="T53" s="314"/>
      <c r="U53" s="312"/>
      <c r="V53" s="312"/>
      <c r="W53" s="312"/>
      <c r="X53" s="312"/>
      <c r="Y53" s="314"/>
      <c r="Z53" s="312"/>
    </row>
    <row r="54" spans="2:26" ht="34.5" customHeight="1" x14ac:dyDescent="0.3">
      <c r="B54" s="525" t="s">
        <v>501</v>
      </c>
      <c r="C54" s="245" t="str">
        <f>C24</f>
        <v>Pilot and scale up monitoring systems at all levels (UP &amp; Bihar) to monitor real-time vaccine stock situations, status of equipment and other transactions</v>
      </c>
      <c r="D54" s="307"/>
      <c r="E54" s="307"/>
      <c r="F54" s="307"/>
      <c r="G54" s="307"/>
      <c r="H54" s="307"/>
      <c r="I54" s="307"/>
      <c r="J54" s="533"/>
      <c r="K54" s="304"/>
      <c r="L54" s="304"/>
      <c r="M54" s="304"/>
      <c r="N54" s="304"/>
      <c r="O54" s="303"/>
      <c r="P54" s="305"/>
      <c r="Q54" s="305"/>
      <c r="R54" s="305"/>
      <c r="S54" s="305"/>
      <c r="T54" s="303"/>
      <c r="U54" s="306"/>
      <c r="V54" s="306"/>
      <c r="W54" s="306"/>
      <c r="X54" s="306"/>
      <c r="Y54" s="303"/>
      <c r="Z54" s="282"/>
    </row>
    <row r="55" spans="2:26" x14ac:dyDescent="0.3">
      <c r="B55" s="253">
        <f>B39</f>
        <v>1</v>
      </c>
      <c r="C55" s="253" t="s">
        <v>359</v>
      </c>
      <c r="D55" s="274">
        <v>5000000</v>
      </c>
      <c r="E55" s="274">
        <v>1</v>
      </c>
      <c r="F55" s="274">
        <v>1</v>
      </c>
      <c r="G55" s="308">
        <v>1</v>
      </c>
      <c r="H55" s="274">
        <f>D55*E55*F55*G55</f>
        <v>5000000</v>
      </c>
      <c r="I55" s="274">
        <f>H55/54</f>
        <v>92592.592592592599</v>
      </c>
      <c r="J55" s="533"/>
      <c r="K55" s="304">
        <f>I55*K25</f>
        <v>92592.592592592599</v>
      </c>
      <c r="L55" s="304"/>
      <c r="M55" s="304"/>
      <c r="N55" s="304"/>
      <c r="O55" s="303">
        <f>K55+L55+M55+N55</f>
        <v>92592.592592592599</v>
      </c>
      <c r="P55" s="305"/>
      <c r="Q55" s="305"/>
      <c r="R55" s="305"/>
      <c r="S55" s="305"/>
      <c r="T55" s="303">
        <f>P55+Q55+R55+S55</f>
        <v>0</v>
      </c>
      <c r="U55" s="306"/>
      <c r="V55" s="306"/>
      <c r="W55" s="306"/>
      <c r="X55" s="306"/>
      <c r="Y55" s="303">
        <f>U55+V55+W55+X55</f>
        <v>0</v>
      </c>
      <c r="Z55" s="282">
        <f>O55+T55+Y55</f>
        <v>92592.592592592599</v>
      </c>
    </row>
    <row r="56" spans="2:26" x14ac:dyDescent="0.3">
      <c r="B56" s="253">
        <f t="shared" ref="B56:B63" si="14">B40</f>
        <v>2</v>
      </c>
      <c r="C56" s="253" t="s">
        <v>360</v>
      </c>
      <c r="D56" s="274">
        <v>5000000</v>
      </c>
      <c r="E56" s="274">
        <v>1</v>
      </c>
      <c r="F56" s="274">
        <v>1</v>
      </c>
      <c r="G56" s="308">
        <v>1</v>
      </c>
      <c r="H56" s="274">
        <f t="shared" ref="H56:H62" si="15">D56*E56*F56*G56</f>
        <v>5000000</v>
      </c>
      <c r="I56" s="274">
        <f t="shared" ref="I56:I62" si="16">H56/54</f>
        <v>92592.592592592599</v>
      </c>
      <c r="J56" s="533"/>
      <c r="K56" s="304"/>
      <c r="L56" s="304">
        <f>I56*L26</f>
        <v>92592.592592592599</v>
      </c>
      <c r="M56" s="304"/>
      <c r="N56" s="304"/>
      <c r="O56" s="303">
        <f t="shared" ref="O56:O63" si="17">K56+L56+M56+N56</f>
        <v>92592.592592592599</v>
      </c>
      <c r="P56" s="305"/>
      <c r="Q56" s="305"/>
      <c r="R56" s="305"/>
      <c r="S56" s="305"/>
      <c r="T56" s="303">
        <f t="shared" ref="T56:T63" si="18">P56+Q56+R56+S56</f>
        <v>0</v>
      </c>
      <c r="U56" s="306"/>
      <c r="V56" s="306"/>
      <c r="W56" s="306"/>
      <c r="X56" s="306"/>
      <c r="Y56" s="303">
        <f t="shared" ref="Y56:Y63" si="19">U56+V56+W56+X56</f>
        <v>0</v>
      </c>
      <c r="Z56" s="282">
        <f t="shared" ref="Z56:Z63" si="20">O56+T56+Y56</f>
        <v>92592.592592592599</v>
      </c>
    </row>
    <row r="57" spans="2:26" x14ac:dyDescent="0.3">
      <c r="B57" s="253">
        <f t="shared" si="14"/>
        <v>3</v>
      </c>
      <c r="C57" s="253" t="s">
        <v>361</v>
      </c>
      <c r="D57" s="274">
        <v>2000000</v>
      </c>
      <c r="E57" s="274">
        <v>1</v>
      </c>
      <c r="F57" s="274">
        <v>1</v>
      </c>
      <c r="G57" s="308">
        <v>1</v>
      </c>
      <c r="H57" s="274">
        <f t="shared" si="15"/>
        <v>2000000</v>
      </c>
      <c r="I57" s="274">
        <f t="shared" si="16"/>
        <v>37037.037037037036</v>
      </c>
      <c r="J57" s="533"/>
      <c r="K57" s="304"/>
      <c r="L57" s="304">
        <f>I57*L27</f>
        <v>37037.037037037036</v>
      </c>
      <c r="M57" s="304"/>
      <c r="N57" s="304"/>
      <c r="O57" s="303">
        <f t="shared" si="17"/>
        <v>37037.037037037036</v>
      </c>
      <c r="P57" s="305"/>
      <c r="Q57" s="305"/>
      <c r="R57" s="305"/>
      <c r="S57" s="305"/>
      <c r="T57" s="303">
        <f t="shared" si="18"/>
        <v>0</v>
      </c>
      <c r="U57" s="306"/>
      <c r="V57" s="306"/>
      <c r="W57" s="306"/>
      <c r="X57" s="306"/>
      <c r="Y57" s="303">
        <f t="shared" si="19"/>
        <v>0</v>
      </c>
      <c r="Z57" s="282">
        <f t="shared" si="20"/>
        <v>37037.037037037036</v>
      </c>
    </row>
    <row r="58" spans="2:26" x14ac:dyDescent="0.3">
      <c r="B58" s="253">
        <f t="shared" si="14"/>
        <v>4</v>
      </c>
      <c r="C58" s="253" t="s">
        <v>368</v>
      </c>
      <c r="D58" s="274">
        <v>6000</v>
      </c>
      <c r="E58" s="274">
        <v>1</v>
      </c>
      <c r="F58" s="274">
        <v>1</v>
      </c>
      <c r="G58" s="308">
        <v>1</v>
      </c>
      <c r="H58" s="274">
        <f t="shared" si="15"/>
        <v>6000</v>
      </c>
      <c r="I58" s="274">
        <f t="shared" si="16"/>
        <v>111.11111111111111</v>
      </c>
      <c r="J58" s="533"/>
      <c r="K58" s="304"/>
      <c r="L58" s="304">
        <f>I58*L28</f>
        <v>27777.777777777777</v>
      </c>
      <c r="M58" s="304">
        <f>I58*M28</f>
        <v>55555.555555555555</v>
      </c>
      <c r="N58" s="304">
        <f>I58*N28</f>
        <v>27777.777777777777</v>
      </c>
      <c r="O58" s="303">
        <f>SUM(K58:N58)</f>
        <v>111111.11111111111</v>
      </c>
      <c r="P58" s="305">
        <f>I58*P28</f>
        <v>166666.66666666666</v>
      </c>
      <c r="Q58" s="305">
        <f>I58*Q28</f>
        <v>166666.66666666666</v>
      </c>
      <c r="R58" s="305">
        <f>I58*R28</f>
        <v>222222.22222222222</v>
      </c>
      <c r="S58" s="305">
        <f>I58*S28</f>
        <v>222222.22222222222</v>
      </c>
      <c r="T58" s="303">
        <f t="shared" si="18"/>
        <v>777777.77777777775</v>
      </c>
      <c r="U58" s="306"/>
      <c r="V58" s="306"/>
      <c r="W58" s="306"/>
      <c r="X58" s="306"/>
      <c r="Y58" s="303"/>
      <c r="Z58" s="282">
        <f t="shared" si="20"/>
        <v>888888.88888888888</v>
      </c>
    </row>
    <row r="59" spans="2:26" x14ac:dyDescent="0.3">
      <c r="B59" s="253">
        <f t="shared" si="14"/>
        <v>5</v>
      </c>
      <c r="C59" s="253" t="s">
        <v>363</v>
      </c>
      <c r="D59" s="274">
        <v>500000</v>
      </c>
      <c r="E59" s="274">
        <v>1</v>
      </c>
      <c r="F59" s="274">
        <v>1</v>
      </c>
      <c r="G59" s="308">
        <v>1</v>
      </c>
      <c r="H59" s="274">
        <f t="shared" si="15"/>
        <v>500000</v>
      </c>
      <c r="I59" s="274">
        <f t="shared" si="16"/>
        <v>9259.2592592592591</v>
      </c>
      <c r="J59" s="533"/>
      <c r="K59" s="304"/>
      <c r="L59" s="304"/>
      <c r="M59" s="304">
        <f>I59*M29</f>
        <v>185185.18518518517</v>
      </c>
      <c r="N59" s="304"/>
      <c r="O59" s="303">
        <f t="shared" si="17"/>
        <v>185185.18518518517</v>
      </c>
      <c r="P59" s="305"/>
      <c r="Q59" s="305"/>
      <c r="R59" s="305"/>
      <c r="S59" s="305"/>
      <c r="T59" s="303">
        <f t="shared" si="18"/>
        <v>0</v>
      </c>
      <c r="U59" s="306"/>
      <c r="V59" s="306"/>
      <c r="W59" s="306"/>
      <c r="X59" s="306"/>
      <c r="Y59" s="303">
        <f t="shared" si="19"/>
        <v>0</v>
      </c>
      <c r="Z59" s="282">
        <f t="shared" si="20"/>
        <v>185185.18518518517</v>
      </c>
    </row>
    <row r="60" spans="2:26" x14ac:dyDescent="0.3">
      <c r="B60" s="253">
        <f t="shared" si="14"/>
        <v>6</v>
      </c>
      <c r="C60" s="253" t="s">
        <v>364</v>
      </c>
      <c r="D60" s="274">
        <v>300000</v>
      </c>
      <c r="E60" s="274">
        <v>1</v>
      </c>
      <c r="F60" s="274">
        <v>1</v>
      </c>
      <c r="G60" s="308">
        <v>1</v>
      </c>
      <c r="H60" s="274">
        <f t="shared" si="15"/>
        <v>300000</v>
      </c>
      <c r="I60" s="274">
        <f t="shared" si="16"/>
        <v>5555.5555555555557</v>
      </c>
      <c r="J60" s="533"/>
      <c r="K60" s="304"/>
      <c r="L60" s="304"/>
      <c r="M60" s="304"/>
      <c r="N60" s="304">
        <f>I60*N30</f>
        <v>0</v>
      </c>
      <c r="O60" s="303">
        <f t="shared" si="17"/>
        <v>0</v>
      </c>
      <c r="P60" s="305">
        <f>I60*P30</f>
        <v>222222.22222222222</v>
      </c>
      <c r="Q60" s="305">
        <f t="shared" ref="Q60" si="21">J60*Q30</f>
        <v>0</v>
      </c>
      <c r="R60" s="513">
        <f>I60*R30</f>
        <v>416666.66666666669</v>
      </c>
      <c r="S60" s="513">
        <f>I60*S30</f>
        <v>611111.11111111112</v>
      </c>
      <c r="T60" s="303">
        <f t="shared" si="18"/>
        <v>1250000</v>
      </c>
      <c r="U60" s="306"/>
      <c r="V60" s="306"/>
      <c r="W60" s="306"/>
      <c r="X60" s="306"/>
      <c r="Y60" s="303"/>
      <c r="Z60" s="282">
        <f t="shared" si="20"/>
        <v>1250000</v>
      </c>
    </row>
    <row r="61" spans="2:26" x14ac:dyDescent="0.3">
      <c r="B61" s="253">
        <f t="shared" si="14"/>
        <v>7</v>
      </c>
      <c r="C61" s="253" t="s">
        <v>365</v>
      </c>
      <c r="D61" s="274">
        <v>190000</v>
      </c>
      <c r="E61" s="274">
        <v>1</v>
      </c>
      <c r="F61" s="274">
        <v>1</v>
      </c>
      <c r="G61" s="308">
        <v>1</v>
      </c>
      <c r="H61" s="274">
        <f t="shared" si="15"/>
        <v>190000</v>
      </c>
      <c r="I61" s="274">
        <f t="shared" si="16"/>
        <v>3518.5185185185187</v>
      </c>
      <c r="J61" s="533"/>
      <c r="K61" s="304"/>
      <c r="L61" s="304"/>
      <c r="M61" s="304"/>
      <c r="N61" s="304">
        <f>I61*N31</f>
        <v>0</v>
      </c>
      <c r="O61" s="303">
        <f t="shared" si="17"/>
        <v>0</v>
      </c>
      <c r="P61" s="305">
        <f>I61*P31</f>
        <v>211111.11111111112</v>
      </c>
      <c r="Q61" s="305">
        <f>I61*Q31</f>
        <v>211111.11111111112</v>
      </c>
      <c r="R61" s="305">
        <f>I61*R31</f>
        <v>387037.03703703708</v>
      </c>
      <c r="S61" s="305">
        <f>I61*S31</f>
        <v>387037.03703703708</v>
      </c>
      <c r="T61" s="303">
        <f t="shared" si="18"/>
        <v>1196296.2962962964</v>
      </c>
      <c r="U61" s="306">
        <f>I61*U31</f>
        <v>383518.51851851854</v>
      </c>
      <c r="V61" s="306">
        <f>I61*V31</f>
        <v>383518.51851851854</v>
      </c>
      <c r="W61" s="306">
        <f>I61*W31</f>
        <v>383518.51851851854</v>
      </c>
      <c r="X61" s="306">
        <f>I61*X31</f>
        <v>383518.51851851854</v>
      </c>
      <c r="Y61" s="303">
        <f t="shared" si="19"/>
        <v>1534074.0740740742</v>
      </c>
      <c r="Z61" s="282">
        <f t="shared" si="20"/>
        <v>2730370.3703703703</v>
      </c>
    </row>
    <row r="62" spans="2:26" x14ac:dyDescent="0.3">
      <c r="B62" s="253">
        <f t="shared" si="14"/>
        <v>8</v>
      </c>
      <c r="C62" s="253" t="s">
        <v>366</v>
      </c>
      <c r="D62" s="274">
        <v>500000</v>
      </c>
      <c r="E62" s="274">
        <v>1</v>
      </c>
      <c r="F62" s="274">
        <v>1</v>
      </c>
      <c r="G62" s="308">
        <v>1</v>
      </c>
      <c r="H62" s="274">
        <f t="shared" si="15"/>
        <v>500000</v>
      </c>
      <c r="I62" s="274">
        <f t="shared" si="16"/>
        <v>9259.2592592592591</v>
      </c>
      <c r="J62" s="533"/>
      <c r="K62" s="304"/>
      <c r="L62" s="304"/>
      <c r="M62" s="304"/>
      <c r="N62" s="304"/>
      <c r="O62" s="303">
        <f t="shared" si="17"/>
        <v>0</v>
      </c>
      <c r="P62" s="305">
        <f>I62*P32</f>
        <v>9259.2592592592591</v>
      </c>
      <c r="Q62" s="305"/>
      <c r="R62" s="305">
        <f>I62*R32</f>
        <v>9259.2592592592591</v>
      </c>
      <c r="S62" s="305"/>
      <c r="T62" s="303">
        <f t="shared" si="18"/>
        <v>18518.518518518518</v>
      </c>
      <c r="U62" s="306"/>
      <c r="V62" s="306"/>
      <c r="W62" s="306">
        <f>I62*W32</f>
        <v>9259.2592592592591</v>
      </c>
      <c r="X62" s="306"/>
      <c r="Y62" s="303">
        <f t="shared" si="19"/>
        <v>9259.2592592592591</v>
      </c>
      <c r="Z62" s="282">
        <f t="shared" si="20"/>
        <v>27777.777777777777</v>
      </c>
    </row>
    <row r="63" spans="2:26" x14ac:dyDescent="0.3">
      <c r="B63" s="253">
        <f t="shared" si="14"/>
        <v>9</v>
      </c>
      <c r="C63" s="253" t="s">
        <v>367</v>
      </c>
      <c r="D63" s="274">
        <v>850000</v>
      </c>
      <c r="E63" s="274">
        <v>1</v>
      </c>
      <c r="F63" s="274">
        <v>1</v>
      </c>
      <c r="G63" s="308">
        <v>1</v>
      </c>
      <c r="H63" s="274">
        <f>D63*E63*F63*G63</f>
        <v>850000</v>
      </c>
      <c r="I63" s="274">
        <f>H63/54</f>
        <v>15740.740740740741</v>
      </c>
      <c r="J63" s="533"/>
      <c r="K63" s="304"/>
      <c r="L63" s="304"/>
      <c r="M63" s="304"/>
      <c r="N63" s="304"/>
      <c r="O63" s="303">
        <f t="shared" si="17"/>
        <v>0</v>
      </c>
      <c r="P63" s="305"/>
      <c r="Q63" s="305"/>
      <c r="R63" s="305"/>
      <c r="S63" s="305"/>
      <c r="T63" s="303">
        <f t="shared" si="18"/>
        <v>0</v>
      </c>
      <c r="U63" s="306"/>
      <c r="V63" s="306"/>
      <c r="W63" s="306">
        <f>I63*W33</f>
        <v>15740.740740740741</v>
      </c>
      <c r="X63" s="306"/>
      <c r="Y63" s="303">
        <f t="shared" si="19"/>
        <v>15740.740740740741</v>
      </c>
      <c r="Z63" s="282">
        <f t="shared" si="20"/>
        <v>15740.740740740741</v>
      </c>
    </row>
    <row r="64" spans="2:26" x14ac:dyDescent="0.3">
      <c r="B64" s="309"/>
      <c r="C64" s="309" t="s">
        <v>56</v>
      </c>
      <c r="D64" s="310"/>
      <c r="E64" s="310"/>
      <c r="F64" s="310"/>
      <c r="G64" s="310"/>
      <c r="H64" s="310"/>
      <c r="I64" s="310"/>
      <c r="J64" s="534"/>
      <c r="K64" s="310">
        <f>SUM(K55:K63)</f>
        <v>92592.592592592599</v>
      </c>
      <c r="L64" s="310">
        <f t="shared" ref="L64:Z64" si="22">SUM(L55:L63)</f>
        <v>157407.40740740742</v>
      </c>
      <c r="M64" s="310">
        <f t="shared" si="22"/>
        <v>240740.74074074073</v>
      </c>
      <c r="N64" s="310">
        <f t="shared" si="22"/>
        <v>27777.777777777777</v>
      </c>
      <c r="O64" s="310">
        <f t="shared" si="22"/>
        <v>518518.51851851854</v>
      </c>
      <c r="P64" s="310">
        <f t="shared" si="22"/>
        <v>609259.25925925921</v>
      </c>
      <c r="Q64" s="310">
        <f t="shared" si="22"/>
        <v>377777.77777777775</v>
      </c>
      <c r="R64" s="310">
        <f t="shared" si="22"/>
        <v>1035185.1851851852</v>
      </c>
      <c r="S64" s="310">
        <f t="shared" si="22"/>
        <v>1220370.3703703703</v>
      </c>
      <c r="T64" s="310">
        <f t="shared" si="22"/>
        <v>3242592.5925925928</v>
      </c>
      <c r="U64" s="310">
        <f t="shared" si="22"/>
        <v>383518.51851851854</v>
      </c>
      <c r="V64" s="310">
        <f t="shared" si="22"/>
        <v>383518.51851851854</v>
      </c>
      <c r="W64" s="310">
        <f t="shared" si="22"/>
        <v>408518.51851851854</v>
      </c>
      <c r="X64" s="310">
        <f t="shared" si="22"/>
        <v>383518.51851851854</v>
      </c>
      <c r="Y64" s="310">
        <f t="shared" si="22"/>
        <v>1559074.0740740742</v>
      </c>
      <c r="Z64" s="310">
        <f t="shared" si="22"/>
        <v>5320185.1851851847</v>
      </c>
    </row>
    <row r="67" spans="2:26" x14ac:dyDescent="0.3">
      <c r="B67" s="253"/>
      <c r="C67" s="253" t="s">
        <v>59</v>
      </c>
      <c r="D67" s="253"/>
      <c r="E67" s="253"/>
      <c r="F67" s="253"/>
      <c r="G67" s="253"/>
      <c r="H67" s="253"/>
      <c r="I67" s="253"/>
      <c r="J67" s="25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</row>
    <row r="68" spans="2:26" x14ac:dyDescent="0.3">
      <c r="B68" s="253"/>
      <c r="C68" s="253"/>
      <c r="D68" s="253"/>
      <c r="E68" s="253"/>
      <c r="F68" s="253"/>
      <c r="G68" s="253"/>
      <c r="H68" s="253"/>
      <c r="I68" s="253"/>
      <c r="J68" s="253"/>
      <c r="K68" s="722" t="s">
        <v>26</v>
      </c>
      <c r="L68" s="722"/>
      <c r="M68" s="722"/>
      <c r="N68" s="722"/>
      <c r="O68" s="368"/>
      <c r="P68" s="722" t="s">
        <v>27</v>
      </c>
      <c r="Q68" s="722"/>
      <c r="R68" s="722"/>
      <c r="S68" s="722"/>
      <c r="T68" s="369"/>
      <c r="U68" s="722" t="s">
        <v>28</v>
      </c>
      <c r="V68" s="722"/>
      <c r="W68" s="722"/>
      <c r="X68" s="722"/>
      <c r="Y68" s="313"/>
      <c r="Z68" s="313" t="s">
        <v>19</v>
      </c>
    </row>
    <row r="69" spans="2:26" x14ac:dyDescent="0.3">
      <c r="B69" s="253"/>
      <c r="C69" s="253"/>
      <c r="D69" s="253"/>
      <c r="E69" s="253"/>
      <c r="F69" s="253"/>
      <c r="G69" s="253"/>
      <c r="H69" s="253"/>
      <c r="I69" s="253"/>
      <c r="J69" s="253"/>
      <c r="K69" s="313" t="s">
        <v>36</v>
      </c>
      <c r="L69" s="313" t="s">
        <v>37</v>
      </c>
      <c r="M69" s="313" t="s">
        <v>38</v>
      </c>
      <c r="N69" s="313" t="s">
        <v>39</v>
      </c>
      <c r="O69" s="313" t="s">
        <v>9</v>
      </c>
      <c r="P69" s="313" t="s">
        <v>36</v>
      </c>
      <c r="Q69" s="313" t="s">
        <v>37</v>
      </c>
      <c r="R69" s="313" t="s">
        <v>38</v>
      </c>
      <c r="S69" s="313" t="s">
        <v>39</v>
      </c>
      <c r="T69" s="313" t="s">
        <v>9</v>
      </c>
      <c r="U69" s="313" t="s">
        <v>36</v>
      </c>
      <c r="V69" s="313" t="s">
        <v>37</v>
      </c>
      <c r="W69" s="313" t="s">
        <v>38</v>
      </c>
      <c r="X69" s="313" t="s">
        <v>39</v>
      </c>
      <c r="Y69" s="313" t="s">
        <v>9</v>
      </c>
      <c r="Z69" s="313"/>
    </row>
    <row r="70" spans="2:26" x14ac:dyDescent="0.3">
      <c r="B70" s="253" t="s">
        <v>349</v>
      </c>
      <c r="C70" s="253" t="str">
        <f>C10</f>
        <v>Scale up SMS logger to all cold chain points in Bihar and Uttar Pradesh</v>
      </c>
      <c r="D70" s="253"/>
      <c r="E70" s="253"/>
      <c r="F70" s="253"/>
      <c r="G70" s="253"/>
      <c r="H70" s="253"/>
      <c r="I70" s="253"/>
      <c r="J70" s="253"/>
      <c r="K70" s="370">
        <f>K51</f>
        <v>25925.925925925927</v>
      </c>
      <c r="L70" s="370">
        <f t="shared" ref="L70:Z70" si="23">L51</f>
        <v>38425.925925925927</v>
      </c>
      <c r="M70" s="370">
        <f t="shared" si="23"/>
        <v>185185.18518518517</v>
      </c>
      <c r="N70" s="370">
        <f t="shared" si="23"/>
        <v>77314.814814814803</v>
      </c>
      <c r="O70" s="370">
        <f t="shared" si="23"/>
        <v>326851.85185185185</v>
      </c>
      <c r="P70" s="370">
        <f t="shared" si="23"/>
        <v>447222.22222222225</v>
      </c>
      <c r="Q70" s="370">
        <f t="shared" si="23"/>
        <v>242425.92592592593</v>
      </c>
      <c r="R70" s="370">
        <f t="shared" si="23"/>
        <v>629629.62962962966</v>
      </c>
      <c r="S70" s="370">
        <f t="shared" si="23"/>
        <v>499537.03703703702</v>
      </c>
      <c r="T70" s="370">
        <f t="shared" si="23"/>
        <v>1818814.8148148148</v>
      </c>
      <c r="U70" s="370">
        <f t="shared" si="23"/>
        <v>15099074.074074075</v>
      </c>
      <c r="V70" s="370">
        <f t="shared" si="23"/>
        <v>303703.70370370371</v>
      </c>
      <c r="W70" s="370">
        <f t="shared" si="23"/>
        <v>15149074.074074075</v>
      </c>
      <c r="X70" s="370">
        <f t="shared" si="23"/>
        <v>355555.55555555556</v>
      </c>
      <c r="Y70" s="370">
        <f t="shared" si="23"/>
        <v>1273148.1481481483</v>
      </c>
      <c r="Z70" s="370">
        <f t="shared" si="23"/>
        <v>3418814.8148148148</v>
      </c>
    </row>
    <row r="71" spans="2:26" x14ac:dyDescent="0.3">
      <c r="B71" s="253" t="s">
        <v>350</v>
      </c>
      <c r="C71" s="253" t="str">
        <f>C24</f>
        <v>Pilot and scale up monitoring systems at all levels (UP &amp; Bihar) to monitor real-time vaccine stock situations, status of equipment and other transactions</v>
      </c>
      <c r="D71" s="253"/>
      <c r="E71" s="253"/>
      <c r="F71" s="253"/>
      <c r="G71" s="253"/>
      <c r="H71" s="253"/>
      <c r="I71" s="253"/>
      <c r="J71" s="253"/>
      <c r="K71" s="370">
        <f>K64</f>
        <v>92592.592592592599</v>
      </c>
      <c r="L71" s="370">
        <f t="shared" ref="L71:Z71" si="24">L64</f>
        <v>157407.40740740742</v>
      </c>
      <c r="M71" s="370">
        <f t="shared" si="24"/>
        <v>240740.74074074073</v>
      </c>
      <c r="N71" s="370">
        <f t="shared" si="24"/>
        <v>27777.777777777777</v>
      </c>
      <c r="O71" s="370">
        <f t="shared" si="24"/>
        <v>518518.51851851854</v>
      </c>
      <c r="P71" s="370">
        <f t="shared" si="24"/>
        <v>609259.25925925921</v>
      </c>
      <c r="Q71" s="370">
        <f t="shared" si="24"/>
        <v>377777.77777777775</v>
      </c>
      <c r="R71" s="370">
        <f t="shared" si="24"/>
        <v>1035185.1851851852</v>
      </c>
      <c r="S71" s="370">
        <f t="shared" si="24"/>
        <v>1220370.3703703703</v>
      </c>
      <c r="T71" s="370">
        <f t="shared" si="24"/>
        <v>3242592.5925925928</v>
      </c>
      <c r="U71" s="370">
        <f t="shared" si="24"/>
        <v>383518.51851851854</v>
      </c>
      <c r="V71" s="370">
        <f t="shared" si="24"/>
        <v>383518.51851851854</v>
      </c>
      <c r="W71" s="370">
        <f t="shared" si="24"/>
        <v>408518.51851851854</v>
      </c>
      <c r="X71" s="370">
        <f t="shared" si="24"/>
        <v>383518.51851851854</v>
      </c>
      <c r="Y71" s="370">
        <f t="shared" si="24"/>
        <v>1559074.0740740742</v>
      </c>
      <c r="Z71" s="370">
        <f t="shared" si="24"/>
        <v>5320185.1851851847</v>
      </c>
    </row>
    <row r="72" spans="2:26" x14ac:dyDescent="0.3">
      <c r="B72" s="253"/>
      <c r="C72" s="291" t="s">
        <v>59</v>
      </c>
      <c r="D72" s="291"/>
      <c r="E72" s="291"/>
      <c r="F72" s="291"/>
      <c r="G72" s="291"/>
      <c r="H72" s="291"/>
      <c r="I72" s="291"/>
      <c r="J72" s="291"/>
      <c r="K72" s="292">
        <f>K70+K71</f>
        <v>118518.51851851853</v>
      </c>
      <c r="L72" s="292">
        <f t="shared" ref="L72:Z72" si="25">L70+L71</f>
        <v>195833.33333333334</v>
      </c>
      <c r="M72" s="292">
        <f t="shared" si="25"/>
        <v>425925.9259259259</v>
      </c>
      <c r="N72" s="292">
        <f t="shared" si="25"/>
        <v>105092.59259259258</v>
      </c>
      <c r="O72" s="292">
        <f t="shared" si="25"/>
        <v>845370.37037037034</v>
      </c>
      <c r="P72" s="292">
        <f t="shared" si="25"/>
        <v>1056481.4814814813</v>
      </c>
      <c r="Q72" s="292">
        <f t="shared" si="25"/>
        <v>620203.70370370371</v>
      </c>
      <c r="R72" s="292">
        <f t="shared" si="25"/>
        <v>1664814.8148148148</v>
      </c>
      <c r="S72" s="292">
        <f t="shared" si="25"/>
        <v>1719907.4074074074</v>
      </c>
      <c r="T72" s="292">
        <f t="shared" si="25"/>
        <v>5061407.4074074076</v>
      </c>
      <c r="U72" s="292">
        <f t="shared" si="25"/>
        <v>15482592.592592593</v>
      </c>
      <c r="V72" s="292">
        <f t="shared" si="25"/>
        <v>687222.22222222225</v>
      </c>
      <c r="W72" s="292">
        <f t="shared" si="25"/>
        <v>15557592.592592593</v>
      </c>
      <c r="X72" s="292">
        <f t="shared" si="25"/>
        <v>739074.07407407416</v>
      </c>
      <c r="Y72" s="292">
        <f t="shared" si="25"/>
        <v>2832222.2222222225</v>
      </c>
      <c r="Z72" s="292">
        <f t="shared" si="25"/>
        <v>8739000</v>
      </c>
    </row>
    <row r="73" spans="2:26" x14ac:dyDescent="0.3"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</row>
  </sheetData>
  <mergeCells count="35">
    <mergeCell ref="U36:X36"/>
    <mergeCell ref="C52:I52"/>
    <mergeCell ref="K68:N68"/>
    <mergeCell ref="P68:S68"/>
    <mergeCell ref="U68:X68"/>
    <mergeCell ref="P36:S36"/>
    <mergeCell ref="C31:I31"/>
    <mergeCell ref="C32:I32"/>
    <mergeCell ref="C33:I33"/>
    <mergeCell ref="C35:I35"/>
    <mergeCell ref="K36:N36"/>
    <mergeCell ref="C30:I30"/>
    <mergeCell ref="C18:I18"/>
    <mergeCell ref="C19:I19"/>
    <mergeCell ref="C20:I20"/>
    <mergeCell ref="C21:I21"/>
    <mergeCell ref="C22:I22"/>
    <mergeCell ref="C24:I24"/>
    <mergeCell ref="C25:I25"/>
    <mergeCell ref="C26:I26"/>
    <mergeCell ref="C27:I27"/>
    <mergeCell ref="C28:I28"/>
    <mergeCell ref="C29:I29"/>
    <mergeCell ref="C17:I17"/>
    <mergeCell ref="B7:I7"/>
    <mergeCell ref="K8:N8"/>
    <mergeCell ref="P8:S8"/>
    <mergeCell ref="U8:X8"/>
    <mergeCell ref="C10:I10"/>
    <mergeCell ref="C11:I11"/>
    <mergeCell ref="C12:I12"/>
    <mergeCell ref="C13:I13"/>
    <mergeCell ref="C14:I14"/>
    <mergeCell ref="C15:I15"/>
    <mergeCell ref="C16:I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Z152"/>
  <sheetViews>
    <sheetView zoomScale="90" zoomScaleNormal="90" zoomScalePageLayoutView="90" workbookViewId="0">
      <selection activeCell="B49" sqref="B49:J49"/>
    </sheetView>
  </sheetViews>
  <sheetFormatPr defaultColWidth="8.88671875" defaultRowHeight="14.4" x14ac:dyDescent="0.3"/>
  <cols>
    <col min="1" max="1" width="5" style="216" customWidth="1"/>
    <col min="2" max="2" width="8.88671875" style="216"/>
    <col min="3" max="3" width="49.33203125" style="216" customWidth="1"/>
    <col min="4" max="4" width="17" style="216" bestFit="1" customWidth="1"/>
    <col min="5" max="5" width="17.44140625" style="216" customWidth="1"/>
    <col min="6" max="6" width="17.33203125" style="216" bestFit="1" customWidth="1"/>
    <col min="7" max="7" width="18.6640625" style="216" bestFit="1" customWidth="1"/>
    <col min="8" max="8" width="23.88671875" style="216" customWidth="1"/>
    <col min="9" max="10" width="14.44140625" style="216" bestFit="1" customWidth="1"/>
    <col min="11" max="15" width="19" style="216" customWidth="1"/>
    <col min="16" max="19" width="19" style="216" hidden="1" customWidth="1"/>
    <col min="20" max="20" width="19" style="216" customWidth="1"/>
    <col min="21" max="24" width="19" style="216" hidden="1" customWidth="1"/>
    <col min="25" max="26" width="19" style="216" customWidth="1"/>
    <col min="27" max="16384" width="8.88671875" style="216"/>
  </cols>
  <sheetData>
    <row r="2" spans="2:26" s="225" customFormat="1" ht="28.8" x14ac:dyDescent="0.3">
      <c r="B2" s="223">
        <v>2.2000000000000002</v>
      </c>
      <c r="C2" s="244" t="s">
        <v>307</v>
      </c>
      <c r="D2" s="226" t="s">
        <v>26</v>
      </c>
      <c r="E2" s="226" t="s">
        <v>27</v>
      </c>
      <c r="F2" s="226" t="s">
        <v>28</v>
      </c>
      <c r="G2" s="226" t="s">
        <v>9</v>
      </c>
    </row>
    <row r="3" spans="2:26" ht="28.8" x14ac:dyDescent="0.3">
      <c r="B3" s="227" t="s">
        <v>369</v>
      </c>
      <c r="C3" s="523" t="s">
        <v>533</v>
      </c>
      <c r="D3" s="246">
        <f>O36</f>
        <v>752175.92592592584</v>
      </c>
      <c r="E3" s="246">
        <f>T36</f>
        <v>0</v>
      </c>
      <c r="F3" s="246">
        <f>Y36</f>
        <v>0</v>
      </c>
      <c r="G3" s="246">
        <f>D3+E3+F3</f>
        <v>752175.92592592584</v>
      </c>
    </row>
    <row r="4" spans="2:26" x14ac:dyDescent="0.3">
      <c r="B4" s="227" t="s">
        <v>370</v>
      </c>
      <c r="C4" s="245" t="s">
        <v>308</v>
      </c>
      <c r="D4" s="246">
        <f>O45</f>
        <v>410703.70370370371</v>
      </c>
      <c r="E4" s="246">
        <f>T45</f>
        <v>3608458.333333333</v>
      </c>
      <c r="F4" s="246">
        <f>Y45</f>
        <v>3721134.2592592598</v>
      </c>
      <c r="G4" s="246">
        <f>D4+E4+F4</f>
        <v>7740296.2962962966</v>
      </c>
    </row>
    <row r="5" spans="2:26" x14ac:dyDescent="0.3">
      <c r="B5" s="227"/>
      <c r="C5" s="247" t="s">
        <v>10</v>
      </c>
      <c r="D5" s="248">
        <f>D3+D4</f>
        <v>1162879.6296296297</v>
      </c>
      <c r="E5" s="248">
        <f t="shared" ref="E5:G5" si="0">E3+E4</f>
        <v>3608458.333333333</v>
      </c>
      <c r="F5" s="248">
        <f t="shared" si="0"/>
        <v>3721134.2592592598</v>
      </c>
      <c r="G5" s="248">
        <f t="shared" si="0"/>
        <v>8492472.222222222</v>
      </c>
      <c r="I5" s="318"/>
      <c r="S5" s="216">
        <f>5040/4</f>
        <v>1260</v>
      </c>
    </row>
    <row r="7" spans="2:26" x14ac:dyDescent="0.3">
      <c r="B7" s="685" t="s">
        <v>34</v>
      </c>
      <c r="C7" s="686"/>
      <c r="D7" s="686"/>
      <c r="E7" s="686"/>
      <c r="F7" s="686"/>
      <c r="G7" s="686"/>
      <c r="H7" s="686"/>
      <c r="I7" s="686"/>
    </row>
    <row r="8" spans="2:26" x14ac:dyDescent="0.3">
      <c r="B8" s="265"/>
      <c r="C8" s="265"/>
      <c r="D8" s="265"/>
      <c r="E8" s="265"/>
      <c r="F8" s="265"/>
      <c r="G8" s="265"/>
      <c r="H8" s="265"/>
      <c r="I8" s="265"/>
      <c r="J8" s="254"/>
      <c r="K8" s="718" t="s">
        <v>26</v>
      </c>
      <c r="L8" s="718"/>
      <c r="M8" s="718"/>
      <c r="N8" s="718"/>
      <c r="O8" s="303" t="s">
        <v>26</v>
      </c>
      <c r="P8" s="726" t="s">
        <v>27</v>
      </c>
      <c r="Q8" s="727"/>
      <c r="R8" s="727"/>
      <c r="S8" s="728"/>
      <c r="T8" s="302" t="s">
        <v>27</v>
      </c>
      <c r="U8" s="729" t="s">
        <v>28</v>
      </c>
      <c r="V8" s="730"/>
      <c r="W8" s="730"/>
      <c r="X8" s="731"/>
      <c r="Y8" s="303" t="s">
        <v>28</v>
      </c>
      <c r="Z8" s="282"/>
    </row>
    <row r="9" spans="2:26" x14ac:dyDescent="0.3">
      <c r="B9" s="265"/>
      <c r="C9" s="265"/>
      <c r="D9" s="265"/>
      <c r="E9" s="265"/>
      <c r="F9" s="265"/>
      <c r="G9" s="265"/>
      <c r="H9" s="265"/>
      <c r="I9" s="265"/>
      <c r="J9" s="254"/>
      <c r="K9" s="304" t="s">
        <v>36</v>
      </c>
      <c r="L9" s="304" t="s">
        <v>37</v>
      </c>
      <c r="M9" s="304" t="s">
        <v>38</v>
      </c>
      <c r="N9" s="304" t="s">
        <v>39</v>
      </c>
      <c r="O9" s="303" t="s">
        <v>9</v>
      </c>
      <c r="P9" s="319" t="s">
        <v>36</v>
      </c>
      <c r="Q9" s="319" t="s">
        <v>37</v>
      </c>
      <c r="R9" s="319" t="s">
        <v>38</v>
      </c>
      <c r="S9" s="319" t="s">
        <v>39</v>
      </c>
      <c r="T9" s="303" t="s">
        <v>9</v>
      </c>
      <c r="U9" s="320" t="s">
        <v>36</v>
      </c>
      <c r="V9" s="320" t="s">
        <v>37</v>
      </c>
      <c r="W9" s="320" t="s">
        <v>38</v>
      </c>
      <c r="X9" s="320" t="s">
        <v>39</v>
      </c>
      <c r="Y9" s="303" t="s">
        <v>9</v>
      </c>
      <c r="Z9" s="282" t="s">
        <v>19</v>
      </c>
    </row>
    <row r="10" spans="2:26" ht="30.75" customHeight="1" x14ac:dyDescent="0.3">
      <c r="B10" s="265" t="s">
        <v>369</v>
      </c>
      <c r="C10" s="732" t="str">
        <f>C3</f>
        <v>Development and Piloting of training modules and Curriculum</v>
      </c>
      <c r="D10" s="733"/>
      <c r="E10" s="733"/>
      <c r="F10" s="733"/>
      <c r="G10" s="733"/>
      <c r="H10" s="733"/>
      <c r="I10" s="734"/>
      <c r="J10" s="254"/>
      <c r="K10" s="304"/>
      <c r="L10" s="304"/>
      <c r="M10" s="304"/>
      <c r="N10" s="304"/>
      <c r="O10" s="303"/>
      <c r="P10" s="319"/>
      <c r="Q10" s="319"/>
      <c r="R10" s="319"/>
      <c r="S10" s="319"/>
      <c r="T10" s="303"/>
      <c r="U10" s="320"/>
      <c r="V10" s="320"/>
      <c r="W10" s="320"/>
      <c r="X10" s="320"/>
      <c r="Y10" s="303"/>
      <c r="Z10" s="282"/>
    </row>
    <row r="11" spans="2:26" x14ac:dyDescent="0.3">
      <c r="B11" s="265"/>
      <c r="C11" s="682" t="s">
        <v>321</v>
      </c>
      <c r="D11" s="683"/>
      <c r="E11" s="683"/>
      <c r="F11" s="683"/>
      <c r="G11" s="683"/>
      <c r="H11" s="683"/>
      <c r="I11" s="684"/>
      <c r="J11" s="254"/>
      <c r="K11" s="304">
        <v>1</v>
      </c>
      <c r="L11" s="304"/>
      <c r="M11" s="304"/>
      <c r="N11" s="304"/>
      <c r="O11" s="303">
        <v>1</v>
      </c>
      <c r="P11" s="319"/>
      <c r="Q11" s="319"/>
      <c r="R11" s="319"/>
      <c r="S11" s="319"/>
      <c r="T11" s="303"/>
      <c r="U11" s="320"/>
      <c r="V11" s="320"/>
      <c r="W11" s="320"/>
      <c r="X11" s="320"/>
      <c r="Y11" s="303"/>
      <c r="Z11" s="282">
        <v>1</v>
      </c>
    </row>
    <row r="12" spans="2:26" x14ac:dyDescent="0.3">
      <c r="B12" s="265"/>
      <c r="C12" s="682" t="s">
        <v>371</v>
      </c>
      <c r="D12" s="683"/>
      <c r="E12" s="683"/>
      <c r="F12" s="683"/>
      <c r="G12" s="683"/>
      <c r="H12" s="683"/>
      <c r="I12" s="684"/>
      <c r="J12" s="254"/>
      <c r="K12" s="304">
        <v>1</v>
      </c>
      <c r="L12" s="304"/>
      <c r="M12" s="304"/>
      <c r="N12" s="304"/>
      <c r="O12" s="303">
        <v>1</v>
      </c>
      <c r="P12" s="319"/>
      <c r="Q12" s="319"/>
      <c r="R12" s="319"/>
      <c r="S12" s="319"/>
      <c r="T12" s="303"/>
      <c r="U12" s="320"/>
      <c r="V12" s="320"/>
      <c r="W12" s="320"/>
      <c r="X12" s="320"/>
      <c r="Y12" s="303"/>
      <c r="Z12" s="282">
        <v>1</v>
      </c>
    </row>
    <row r="13" spans="2:26" x14ac:dyDescent="0.3">
      <c r="B13" s="265"/>
      <c r="C13" s="682" t="s">
        <v>372</v>
      </c>
      <c r="D13" s="683"/>
      <c r="E13" s="683"/>
      <c r="F13" s="683"/>
      <c r="G13" s="683"/>
      <c r="H13" s="683"/>
      <c r="I13" s="684"/>
      <c r="J13" s="254"/>
      <c r="K13" s="304"/>
      <c r="L13" s="304">
        <v>1</v>
      </c>
      <c r="M13" s="304"/>
      <c r="N13" s="304"/>
      <c r="O13" s="303">
        <v>1</v>
      </c>
      <c r="P13" s="319"/>
      <c r="Q13" s="319"/>
      <c r="R13" s="319"/>
      <c r="S13" s="319"/>
      <c r="T13" s="303"/>
      <c r="U13" s="320"/>
      <c r="V13" s="320"/>
      <c r="W13" s="320"/>
      <c r="X13" s="320"/>
      <c r="Y13" s="303"/>
      <c r="Z13" s="282">
        <v>1</v>
      </c>
    </row>
    <row r="14" spans="2:26" x14ac:dyDescent="0.3">
      <c r="B14" s="265"/>
      <c r="C14" s="682" t="s">
        <v>373</v>
      </c>
      <c r="D14" s="683"/>
      <c r="E14" s="683"/>
      <c r="F14" s="683"/>
      <c r="G14" s="683"/>
      <c r="H14" s="683"/>
      <c r="I14" s="684"/>
      <c r="J14" s="254"/>
      <c r="K14" s="304"/>
      <c r="L14" s="304">
        <v>40</v>
      </c>
      <c r="M14" s="304"/>
      <c r="N14" s="304"/>
      <c r="O14" s="303">
        <v>40</v>
      </c>
      <c r="P14" s="319"/>
      <c r="Q14" s="319"/>
      <c r="R14" s="319"/>
      <c r="S14" s="319"/>
      <c r="T14" s="303"/>
      <c r="U14" s="320"/>
      <c r="V14" s="320"/>
      <c r="W14" s="320"/>
      <c r="X14" s="320"/>
      <c r="Y14" s="303"/>
      <c r="Z14" s="282">
        <v>40</v>
      </c>
    </row>
    <row r="15" spans="2:26" x14ac:dyDescent="0.3">
      <c r="B15" s="265"/>
      <c r="C15" s="682" t="s">
        <v>374</v>
      </c>
      <c r="D15" s="683"/>
      <c r="E15" s="683"/>
      <c r="F15" s="683"/>
      <c r="G15" s="683"/>
      <c r="H15" s="683"/>
      <c r="I15" s="684"/>
      <c r="J15" s="254"/>
      <c r="K15" s="304"/>
      <c r="L15" s="304"/>
      <c r="M15" s="304">
        <v>36</v>
      </c>
      <c r="N15" s="304"/>
      <c r="O15" s="303">
        <v>36</v>
      </c>
      <c r="P15" s="319"/>
      <c r="Q15" s="319"/>
      <c r="R15" s="319"/>
      <c r="S15" s="319"/>
      <c r="T15" s="303"/>
      <c r="U15" s="320"/>
      <c r="V15" s="320"/>
      <c r="W15" s="320"/>
      <c r="X15" s="320"/>
      <c r="Y15" s="303"/>
      <c r="Z15" s="282">
        <v>36</v>
      </c>
    </row>
    <row r="16" spans="2:26" x14ac:dyDescent="0.3">
      <c r="B16" s="265"/>
      <c r="C16" s="682" t="s">
        <v>375</v>
      </c>
      <c r="D16" s="683"/>
      <c r="E16" s="683"/>
      <c r="F16" s="683"/>
      <c r="G16" s="683"/>
      <c r="H16" s="683"/>
      <c r="I16" s="684"/>
      <c r="J16" s="254"/>
      <c r="K16" s="304"/>
      <c r="L16" s="304"/>
      <c r="M16" s="304">
        <v>1</v>
      </c>
      <c r="N16" s="304"/>
      <c r="O16" s="303">
        <v>1</v>
      </c>
      <c r="P16" s="319"/>
      <c r="Q16" s="319"/>
      <c r="R16" s="319"/>
      <c r="S16" s="319"/>
      <c r="T16" s="303"/>
      <c r="U16" s="320"/>
      <c r="V16" s="320"/>
      <c r="W16" s="320"/>
      <c r="X16" s="320"/>
      <c r="Y16" s="303"/>
      <c r="Z16" s="282">
        <v>1</v>
      </c>
    </row>
    <row r="17" spans="2:26" s="300" customFormat="1" x14ac:dyDescent="0.3">
      <c r="B17" s="321"/>
      <c r="C17" s="321"/>
      <c r="D17" s="321"/>
      <c r="E17" s="321"/>
      <c r="F17" s="321"/>
      <c r="G17" s="321"/>
      <c r="H17" s="321"/>
      <c r="I17" s="321"/>
      <c r="J17" s="215"/>
      <c r="K17" s="313"/>
      <c r="L17" s="313"/>
      <c r="M17" s="313"/>
      <c r="N17" s="313"/>
      <c r="O17" s="314"/>
      <c r="P17" s="313"/>
      <c r="Q17" s="313"/>
      <c r="R17" s="313"/>
      <c r="S17" s="313"/>
      <c r="T17" s="314"/>
      <c r="U17" s="313"/>
      <c r="V17" s="313"/>
      <c r="W17" s="313"/>
      <c r="X17" s="313"/>
      <c r="Y17" s="314"/>
      <c r="Z17" s="312"/>
    </row>
    <row r="18" spans="2:26" x14ac:dyDescent="0.3">
      <c r="B18" s="265" t="s">
        <v>370</v>
      </c>
      <c r="C18" s="738" t="str">
        <f>C4</f>
        <v>Capacity Buidling workshops and inititatives</v>
      </c>
      <c r="D18" s="739"/>
      <c r="E18" s="739"/>
      <c r="F18" s="739"/>
      <c r="G18" s="739"/>
      <c r="H18" s="739"/>
      <c r="I18" s="740"/>
      <c r="J18" s="254"/>
      <c r="K18" s="304"/>
      <c r="L18" s="304"/>
      <c r="M18" s="304"/>
      <c r="N18" s="304"/>
      <c r="O18" s="303"/>
      <c r="P18" s="319"/>
      <c r="Q18" s="319"/>
      <c r="R18" s="319"/>
      <c r="S18" s="319"/>
      <c r="T18" s="303"/>
      <c r="U18" s="320"/>
      <c r="V18" s="320"/>
      <c r="W18" s="320"/>
      <c r="X18" s="320"/>
      <c r="Y18" s="303"/>
      <c r="Z18" s="282"/>
    </row>
    <row r="19" spans="2:26" x14ac:dyDescent="0.3">
      <c r="B19" s="265"/>
      <c r="C19" s="682" t="s">
        <v>376</v>
      </c>
      <c r="D19" s="683"/>
      <c r="E19" s="683"/>
      <c r="F19" s="683"/>
      <c r="G19" s="683"/>
      <c r="H19" s="683"/>
      <c r="I19" s="684"/>
      <c r="J19" s="254"/>
      <c r="K19" s="304"/>
      <c r="L19" s="304"/>
      <c r="M19" s="304">
        <v>40</v>
      </c>
      <c r="N19" s="304"/>
      <c r="O19" s="303">
        <v>1</v>
      </c>
      <c r="P19" s="319"/>
      <c r="Q19" s="319"/>
      <c r="R19" s="319">
        <v>40</v>
      </c>
      <c r="S19" s="319"/>
      <c r="T19" s="303"/>
      <c r="U19" s="320"/>
      <c r="V19" s="320"/>
      <c r="W19" s="320">
        <v>40</v>
      </c>
      <c r="X19" s="320"/>
      <c r="Y19" s="303"/>
      <c r="Z19" s="282"/>
    </row>
    <row r="20" spans="2:26" x14ac:dyDescent="0.3">
      <c r="B20" s="265"/>
      <c r="C20" s="682" t="s">
        <v>377</v>
      </c>
      <c r="D20" s="683"/>
      <c r="E20" s="683"/>
      <c r="F20" s="683"/>
      <c r="G20" s="683"/>
      <c r="H20" s="683"/>
      <c r="I20" s="684"/>
      <c r="J20" s="254"/>
      <c r="K20" s="304"/>
      <c r="L20" s="304"/>
      <c r="M20" s="304">
        <v>36</v>
      </c>
      <c r="N20" s="304"/>
      <c r="O20" s="303">
        <v>1</v>
      </c>
      <c r="P20" s="319"/>
      <c r="Q20" s="319"/>
      <c r="R20" s="319"/>
      <c r="S20" s="319"/>
      <c r="T20" s="303"/>
      <c r="U20" s="320"/>
      <c r="V20" s="320"/>
      <c r="W20" s="320"/>
      <c r="X20" s="320"/>
      <c r="Y20" s="303"/>
      <c r="Z20" s="282"/>
    </row>
    <row r="21" spans="2:26" x14ac:dyDescent="0.3">
      <c r="B21" s="265"/>
      <c r="C21" s="682" t="s">
        <v>378</v>
      </c>
      <c r="D21" s="683"/>
      <c r="E21" s="683"/>
      <c r="F21" s="683"/>
      <c r="G21" s="683"/>
      <c r="H21" s="683"/>
      <c r="I21" s="684"/>
      <c r="J21" s="533"/>
      <c r="K21" s="304"/>
      <c r="L21" s="304"/>
      <c r="M21" s="304"/>
      <c r="N21" s="304">
        <f>4*40</f>
        <v>160</v>
      </c>
      <c r="O21" s="303">
        <v>4</v>
      </c>
      <c r="P21" s="319">
        <v>160</v>
      </c>
      <c r="Q21" s="319">
        <v>160</v>
      </c>
      <c r="R21" s="319"/>
      <c r="S21" s="319"/>
      <c r="T21" s="303">
        <v>8</v>
      </c>
      <c r="U21" s="320"/>
      <c r="V21" s="320"/>
      <c r="W21" s="320"/>
      <c r="X21" s="320"/>
      <c r="Y21" s="303"/>
      <c r="Z21" s="282"/>
    </row>
    <row r="22" spans="2:26" x14ac:dyDescent="0.3">
      <c r="B22" s="265"/>
      <c r="C22" s="682" t="s">
        <v>379</v>
      </c>
      <c r="D22" s="683"/>
      <c r="E22" s="683"/>
      <c r="F22" s="683"/>
      <c r="G22" s="683"/>
      <c r="H22" s="683"/>
      <c r="I22" s="684"/>
      <c r="J22" s="533"/>
      <c r="K22" s="304"/>
      <c r="L22" s="304"/>
      <c r="M22" s="304"/>
      <c r="N22" s="304">
        <v>0</v>
      </c>
      <c r="O22" s="303">
        <v>1</v>
      </c>
      <c r="P22" s="319">
        <v>2413</v>
      </c>
      <c r="Q22" s="319">
        <v>2411</v>
      </c>
      <c r="R22" s="319">
        <v>635</v>
      </c>
      <c r="S22" s="319">
        <v>635</v>
      </c>
      <c r="T22" s="303">
        <f>P22+Q22+R22+S22</f>
        <v>6094</v>
      </c>
      <c r="U22" s="320">
        <v>1765</v>
      </c>
      <c r="V22" s="320">
        <v>2065</v>
      </c>
      <c r="W22" s="320"/>
      <c r="X22" s="320"/>
      <c r="Y22" s="303">
        <f>U22+V22</f>
        <v>3830</v>
      </c>
      <c r="Z22" s="282">
        <f>T22+Y22</f>
        <v>9924</v>
      </c>
    </row>
    <row r="23" spans="2:26" x14ac:dyDescent="0.3">
      <c r="B23" s="265"/>
      <c r="C23" s="682" t="s">
        <v>334</v>
      </c>
      <c r="D23" s="683"/>
      <c r="E23" s="683"/>
      <c r="F23" s="683"/>
      <c r="G23" s="683"/>
      <c r="H23" s="683"/>
      <c r="I23" s="684"/>
      <c r="J23" s="533"/>
      <c r="K23" s="304"/>
      <c r="L23" s="304"/>
      <c r="M23" s="304"/>
      <c r="N23" s="304"/>
      <c r="O23" s="303"/>
      <c r="P23" s="319">
        <v>4</v>
      </c>
      <c r="Q23" s="319"/>
      <c r="R23" s="319">
        <v>4</v>
      </c>
      <c r="S23" s="319"/>
      <c r="T23" s="303">
        <v>8</v>
      </c>
      <c r="U23" s="320">
        <v>4</v>
      </c>
      <c r="V23" s="320"/>
      <c r="W23" s="320"/>
      <c r="X23" s="320"/>
      <c r="Y23" s="303">
        <v>4</v>
      </c>
      <c r="Z23" s="282"/>
    </row>
    <row r="24" spans="2:26" s="300" customFormat="1" x14ac:dyDescent="0.3">
      <c r="B24" s="321"/>
      <c r="C24" s="735" t="s">
        <v>380</v>
      </c>
      <c r="D24" s="736"/>
      <c r="E24" s="736"/>
      <c r="F24" s="736"/>
      <c r="G24" s="736"/>
      <c r="H24" s="736"/>
      <c r="I24" s="737"/>
      <c r="J24" s="533"/>
      <c r="K24" s="304"/>
      <c r="L24" s="304"/>
      <c r="M24" s="304"/>
      <c r="N24" s="304"/>
      <c r="O24" s="303"/>
      <c r="P24" s="319"/>
      <c r="Q24" s="319"/>
      <c r="R24" s="319"/>
      <c r="S24" s="319"/>
      <c r="T24" s="303"/>
      <c r="U24" s="320">
        <v>1200</v>
      </c>
      <c r="V24" s="320">
        <v>1900</v>
      </c>
      <c r="W24" s="320"/>
      <c r="X24" s="320"/>
      <c r="Y24" s="303">
        <f>U24+V24</f>
        <v>3100</v>
      </c>
      <c r="Z24" s="282">
        <v>3100</v>
      </c>
    </row>
    <row r="25" spans="2:26" x14ac:dyDescent="0.3">
      <c r="J25" s="438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3"/>
    </row>
    <row r="26" spans="2:26" x14ac:dyDescent="0.3">
      <c r="C26" s="324" t="s">
        <v>381</v>
      </c>
      <c r="J26" s="438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3"/>
    </row>
    <row r="27" spans="2:26" ht="15.75" customHeight="1" x14ac:dyDescent="0.3">
      <c r="B27" s="699" t="str">
        <f>C10</f>
        <v>Development and Piloting of training modules and Curriculum</v>
      </c>
      <c r="C27" s="700"/>
      <c r="D27" s="700"/>
      <c r="E27" s="700"/>
      <c r="F27" s="700"/>
      <c r="G27" s="700"/>
      <c r="H27" s="700"/>
      <c r="I27" s="701"/>
      <c r="J27" s="533"/>
      <c r="K27" s="718" t="s">
        <v>26</v>
      </c>
      <c r="L27" s="718"/>
      <c r="M27" s="718"/>
      <c r="N27" s="718"/>
      <c r="O27" s="303" t="str">
        <f>O8</f>
        <v>Year 1</v>
      </c>
      <c r="P27" s="744" t="s">
        <v>27</v>
      </c>
      <c r="Q27" s="744"/>
      <c r="R27" s="744"/>
      <c r="S27" s="744"/>
      <c r="T27" s="303" t="str">
        <f>T8</f>
        <v>Year 2</v>
      </c>
      <c r="U27" s="745" t="s">
        <v>28</v>
      </c>
      <c r="V27" s="745"/>
      <c r="W27" s="745"/>
      <c r="X27" s="745"/>
      <c r="Y27" s="303" t="str">
        <f>Y8</f>
        <v>Year 3</v>
      </c>
      <c r="Z27" s="282"/>
    </row>
    <row r="28" spans="2:26" ht="15.75" customHeight="1" x14ac:dyDescent="0.3">
      <c r="B28" s="253"/>
      <c r="C28" s="253" t="s">
        <v>35</v>
      </c>
      <c r="D28" s="274" t="s">
        <v>50</v>
      </c>
      <c r="E28" s="274" t="s">
        <v>51</v>
      </c>
      <c r="F28" s="274" t="s">
        <v>52</v>
      </c>
      <c r="G28" s="274" t="s">
        <v>53</v>
      </c>
      <c r="H28" s="274" t="s">
        <v>54</v>
      </c>
      <c r="I28" s="274" t="s">
        <v>55</v>
      </c>
      <c r="J28" s="533"/>
      <c r="K28" s="304" t="s">
        <v>36</v>
      </c>
      <c r="L28" s="304" t="s">
        <v>37</v>
      </c>
      <c r="M28" s="304" t="s">
        <v>38</v>
      </c>
      <c r="N28" s="304" t="s">
        <v>39</v>
      </c>
      <c r="O28" s="303" t="s">
        <v>9</v>
      </c>
      <c r="P28" s="319" t="s">
        <v>36</v>
      </c>
      <c r="Q28" s="319" t="s">
        <v>37</v>
      </c>
      <c r="R28" s="319" t="s">
        <v>38</v>
      </c>
      <c r="S28" s="319" t="s">
        <v>39</v>
      </c>
      <c r="T28" s="303" t="s">
        <v>9</v>
      </c>
      <c r="U28" s="320" t="s">
        <v>36</v>
      </c>
      <c r="V28" s="320" t="s">
        <v>37</v>
      </c>
      <c r="W28" s="320" t="s">
        <v>38</v>
      </c>
      <c r="X28" s="320" t="s">
        <v>39</v>
      </c>
      <c r="Y28" s="303" t="s">
        <v>9</v>
      </c>
      <c r="Z28" s="282" t="s">
        <v>19</v>
      </c>
    </row>
    <row r="29" spans="2:26" ht="15.75" customHeight="1" x14ac:dyDescent="0.3">
      <c r="B29" s="253" t="s">
        <v>369</v>
      </c>
      <c r="C29" s="245" t="str">
        <f>C10</f>
        <v>Development and Piloting of training modules and Curriculum</v>
      </c>
      <c r="D29" s="245"/>
      <c r="E29" s="245"/>
      <c r="F29" s="245"/>
      <c r="G29" s="245"/>
      <c r="H29" s="245"/>
      <c r="I29" s="245"/>
      <c r="J29" s="533"/>
      <c r="K29" s="304"/>
      <c r="L29" s="304"/>
      <c r="M29" s="304"/>
      <c r="N29" s="304"/>
      <c r="O29" s="303">
        <f>K29+L29+M29+N29</f>
        <v>0</v>
      </c>
      <c r="P29" s="319"/>
      <c r="Q29" s="319"/>
      <c r="R29" s="319"/>
      <c r="S29" s="319"/>
      <c r="T29" s="303">
        <f>P29+Q29+R29+S29</f>
        <v>0</v>
      </c>
      <c r="U29" s="320"/>
      <c r="V29" s="320"/>
      <c r="W29" s="320"/>
      <c r="X29" s="320"/>
      <c r="Y29" s="303">
        <f>U29+V29+W29+X29</f>
        <v>0</v>
      </c>
      <c r="Z29" s="282">
        <f>O29+T29+Y29</f>
        <v>0</v>
      </c>
    </row>
    <row r="30" spans="2:26" ht="15.75" customHeight="1" x14ac:dyDescent="0.3">
      <c r="B30" s="253"/>
      <c r="C30" s="245" t="str">
        <f t="shared" ref="C30:C35" si="1">C11</f>
        <v>Development of the TOR</v>
      </c>
      <c r="D30" s="274">
        <v>0</v>
      </c>
      <c r="E30" s="253">
        <v>0</v>
      </c>
      <c r="F30" s="253">
        <v>0</v>
      </c>
      <c r="G30" s="271">
        <v>1</v>
      </c>
      <c r="H30" s="253">
        <f>D30*E30*F30*G30</f>
        <v>0</v>
      </c>
      <c r="I30" s="274">
        <f>H30/54</f>
        <v>0</v>
      </c>
      <c r="J30" s="533"/>
      <c r="K30" s="304">
        <v>0</v>
      </c>
      <c r="L30" s="304"/>
      <c r="M30" s="304"/>
      <c r="N30" s="304"/>
      <c r="O30" s="303">
        <f t="shared" ref="O30:O44" si="2">K30+L30+M30+N30</f>
        <v>0</v>
      </c>
      <c r="P30" s="319"/>
      <c r="Q30" s="319"/>
      <c r="R30" s="319"/>
      <c r="S30" s="319"/>
      <c r="T30" s="303">
        <f t="shared" ref="T30:T44" si="3">P30+Q30+R30+S30</f>
        <v>0</v>
      </c>
      <c r="U30" s="320"/>
      <c r="V30" s="320"/>
      <c r="W30" s="320"/>
      <c r="X30" s="320"/>
      <c r="Y30" s="303">
        <f t="shared" ref="Y30:Y44" si="4">U30+V30+W30+X30</f>
        <v>0</v>
      </c>
      <c r="Z30" s="282">
        <f t="shared" ref="Z30:Z35" si="5">O30+T30+Y30</f>
        <v>0</v>
      </c>
    </row>
    <row r="31" spans="2:26" ht="15.75" customHeight="1" x14ac:dyDescent="0.3">
      <c r="B31" s="253"/>
      <c r="C31" s="245" t="str">
        <f t="shared" si="1"/>
        <v>Indentification of consultant (s)</v>
      </c>
      <c r="D31" s="274">
        <v>100000</v>
      </c>
      <c r="E31" s="253">
        <v>1</v>
      </c>
      <c r="F31" s="253">
        <v>1</v>
      </c>
      <c r="G31" s="271">
        <v>1</v>
      </c>
      <c r="H31" s="253">
        <f t="shared" ref="H31:H44" si="6">D31*E31*F31*G31</f>
        <v>100000</v>
      </c>
      <c r="I31" s="274">
        <f t="shared" ref="I31:I44" si="7">H31/54</f>
        <v>1851.851851851852</v>
      </c>
      <c r="J31" s="533"/>
      <c r="K31" s="304">
        <f>I31*K12</f>
        <v>1851.851851851852</v>
      </c>
      <c r="L31" s="304"/>
      <c r="M31" s="304"/>
      <c r="N31" s="304"/>
      <c r="O31" s="303">
        <f t="shared" si="2"/>
        <v>1851.851851851852</v>
      </c>
      <c r="P31" s="319"/>
      <c r="Q31" s="319"/>
      <c r="R31" s="319"/>
      <c r="S31" s="319"/>
      <c r="T31" s="303">
        <f t="shared" si="3"/>
        <v>0</v>
      </c>
      <c r="U31" s="320"/>
      <c r="V31" s="320"/>
      <c r="W31" s="320"/>
      <c r="X31" s="320"/>
      <c r="Y31" s="303">
        <f t="shared" si="4"/>
        <v>0</v>
      </c>
      <c r="Z31" s="282">
        <f t="shared" si="5"/>
        <v>1851.851851851852</v>
      </c>
    </row>
    <row r="32" spans="2:26" ht="15.75" customHeight="1" x14ac:dyDescent="0.3">
      <c r="B32" s="253"/>
      <c r="C32" s="245" t="str">
        <f t="shared" si="1"/>
        <v>Development of training Module</v>
      </c>
      <c r="D32" s="274">
        <v>1000000</v>
      </c>
      <c r="E32" s="253">
        <v>1</v>
      </c>
      <c r="F32" s="253">
        <v>1</v>
      </c>
      <c r="G32" s="271">
        <v>1</v>
      </c>
      <c r="H32" s="253">
        <f t="shared" si="6"/>
        <v>1000000</v>
      </c>
      <c r="I32" s="274">
        <f t="shared" si="7"/>
        <v>18518.518518518518</v>
      </c>
      <c r="J32" s="533"/>
      <c r="K32" s="304"/>
      <c r="L32" s="304">
        <f>I32*L13</f>
        <v>18518.518518518518</v>
      </c>
      <c r="M32" s="304"/>
      <c r="N32" s="304"/>
      <c r="O32" s="303">
        <f t="shared" si="2"/>
        <v>18518.518518518518</v>
      </c>
      <c r="P32" s="319"/>
      <c r="Q32" s="319"/>
      <c r="R32" s="319"/>
      <c r="S32" s="319"/>
      <c r="T32" s="303">
        <f t="shared" si="3"/>
        <v>0</v>
      </c>
      <c r="U32" s="320"/>
      <c r="V32" s="320"/>
      <c r="W32" s="320"/>
      <c r="X32" s="320"/>
      <c r="Y32" s="303">
        <f t="shared" si="4"/>
        <v>0</v>
      </c>
      <c r="Z32" s="282">
        <f t="shared" si="5"/>
        <v>18518.518518518518</v>
      </c>
    </row>
    <row r="33" spans="2:26" ht="15.75" customHeight="1" x14ac:dyDescent="0.3">
      <c r="B33" s="253"/>
      <c r="C33" s="245" t="str">
        <f t="shared" si="1"/>
        <v>Piloting the trainining modules</v>
      </c>
      <c r="D33" s="274">
        <f>K79</f>
        <v>50437.5</v>
      </c>
      <c r="E33" s="253">
        <v>1</v>
      </c>
      <c r="F33" s="253">
        <v>1</v>
      </c>
      <c r="G33" s="271">
        <v>1</v>
      </c>
      <c r="H33" s="275">
        <f t="shared" si="6"/>
        <v>50437.5</v>
      </c>
      <c r="I33" s="274">
        <f t="shared" si="7"/>
        <v>934.02777777777783</v>
      </c>
      <c r="J33" s="533"/>
      <c r="K33" s="304"/>
      <c r="L33" s="304">
        <f>I33*L14</f>
        <v>37361.111111111109</v>
      </c>
      <c r="M33" s="304"/>
      <c r="N33" s="304"/>
      <c r="O33" s="303">
        <f t="shared" si="2"/>
        <v>37361.111111111109</v>
      </c>
      <c r="P33" s="319"/>
      <c r="Q33" s="319"/>
      <c r="R33" s="319"/>
      <c r="S33" s="319"/>
      <c r="T33" s="303">
        <f t="shared" si="3"/>
        <v>0</v>
      </c>
      <c r="U33" s="320"/>
      <c r="V33" s="320"/>
      <c r="W33" s="320"/>
      <c r="X33" s="320"/>
      <c r="Y33" s="303">
        <f t="shared" si="4"/>
        <v>0</v>
      </c>
      <c r="Z33" s="282">
        <f t="shared" si="5"/>
        <v>37361.111111111109</v>
      </c>
    </row>
    <row r="34" spans="2:26" ht="15.75" customHeight="1" x14ac:dyDescent="0.3">
      <c r="B34" s="253"/>
      <c r="C34" s="245" t="str">
        <f t="shared" si="1"/>
        <v>Finalisation of training module</v>
      </c>
      <c r="D34" s="274">
        <v>1000000</v>
      </c>
      <c r="E34" s="253">
        <v>1</v>
      </c>
      <c r="F34" s="253">
        <v>1</v>
      </c>
      <c r="G34" s="271">
        <v>1</v>
      </c>
      <c r="H34" s="253">
        <f t="shared" si="6"/>
        <v>1000000</v>
      </c>
      <c r="I34" s="274">
        <f t="shared" si="7"/>
        <v>18518.518518518518</v>
      </c>
      <c r="J34" s="533"/>
      <c r="K34" s="304"/>
      <c r="L34" s="304"/>
      <c r="M34" s="304">
        <f>I34*M15</f>
        <v>666666.66666666663</v>
      </c>
      <c r="N34" s="304"/>
      <c r="O34" s="303">
        <f t="shared" si="2"/>
        <v>666666.66666666663</v>
      </c>
      <c r="P34" s="319"/>
      <c r="Q34" s="319"/>
      <c r="R34" s="319"/>
      <c r="S34" s="319"/>
      <c r="T34" s="303">
        <f t="shared" si="3"/>
        <v>0</v>
      </c>
      <c r="U34" s="320"/>
      <c r="V34" s="320"/>
      <c r="W34" s="320"/>
      <c r="X34" s="320"/>
      <c r="Y34" s="303">
        <f t="shared" si="4"/>
        <v>0</v>
      </c>
      <c r="Z34" s="282">
        <f t="shared" si="5"/>
        <v>666666.66666666663</v>
      </c>
    </row>
    <row r="35" spans="2:26" ht="15.75" customHeight="1" x14ac:dyDescent="0.3">
      <c r="B35" s="253"/>
      <c r="C35" s="245" t="str">
        <f t="shared" si="1"/>
        <v>Printing of the training modules</v>
      </c>
      <c r="D35" s="274">
        <v>1500000</v>
      </c>
      <c r="E35" s="253">
        <v>1</v>
      </c>
      <c r="F35" s="253">
        <v>1</v>
      </c>
      <c r="G35" s="271">
        <v>1</v>
      </c>
      <c r="H35" s="253">
        <f t="shared" si="6"/>
        <v>1500000</v>
      </c>
      <c r="I35" s="274">
        <f t="shared" si="7"/>
        <v>27777.777777777777</v>
      </c>
      <c r="J35" s="533"/>
      <c r="K35" s="304"/>
      <c r="L35" s="304"/>
      <c r="M35" s="304">
        <f>I35*M16</f>
        <v>27777.777777777777</v>
      </c>
      <c r="N35" s="304"/>
      <c r="O35" s="303">
        <f t="shared" si="2"/>
        <v>27777.777777777777</v>
      </c>
      <c r="P35" s="319"/>
      <c r="Q35" s="319"/>
      <c r="R35" s="319"/>
      <c r="S35" s="319"/>
      <c r="T35" s="303">
        <f t="shared" si="3"/>
        <v>0</v>
      </c>
      <c r="U35" s="320"/>
      <c r="V35" s="320"/>
      <c r="W35" s="320"/>
      <c r="X35" s="320"/>
      <c r="Y35" s="303">
        <f t="shared" si="4"/>
        <v>0</v>
      </c>
      <c r="Z35" s="282">
        <f t="shared" si="5"/>
        <v>27777.777777777777</v>
      </c>
    </row>
    <row r="36" spans="2:26" ht="15.75" customHeight="1" x14ac:dyDescent="0.3">
      <c r="B36" s="277"/>
      <c r="C36" s="325" t="s">
        <v>56</v>
      </c>
      <c r="D36" s="286"/>
      <c r="E36" s="277"/>
      <c r="F36" s="277"/>
      <c r="G36" s="326"/>
      <c r="H36" s="277"/>
      <c r="I36" s="286"/>
      <c r="J36" s="533"/>
      <c r="K36" s="286">
        <f>K29+K30+K31+K32+K33+K34+K35</f>
        <v>1851.851851851852</v>
      </c>
      <c r="L36" s="286">
        <f t="shared" ref="L36:Z36" si="8">L29+L30+L31+L32+L33+L34+L35</f>
        <v>55879.629629629628</v>
      </c>
      <c r="M36" s="286">
        <f t="shared" si="8"/>
        <v>694444.44444444438</v>
      </c>
      <c r="N36" s="286">
        <f t="shared" si="8"/>
        <v>0</v>
      </c>
      <c r="O36" s="286">
        <f t="shared" si="8"/>
        <v>752175.92592592584</v>
      </c>
      <c r="P36" s="286">
        <f t="shared" si="8"/>
        <v>0</v>
      </c>
      <c r="Q36" s="286">
        <f t="shared" si="8"/>
        <v>0</v>
      </c>
      <c r="R36" s="286">
        <f t="shared" si="8"/>
        <v>0</v>
      </c>
      <c r="S36" s="286">
        <f t="shared" si="8"/>
        <v>0</v>
      </c>
      <c r="T36" s="286">
        <f t="shared" si="8"/>
        <v>0</v>
      </c>
      <c r="U36" s="286">
        <f t="shared" si="8"/>
        <v>0</v>
      </c>
      <c r="V36" s="286">
        <f t="shared" si="8"/>
        <v>0</v>
      </c>
      <c r="W36" s="286">
        <f t="shared" si="8"/>
        <v>0</v>
      </c>
      <c r="X36" s="286">
        <f t="shared" si="8"/>
        <v>0</v>
      </c>
      <c r="Y36" s="286">
        <f t="shared" si="8"/>
        <v>0</v>
      </c>
      <c r="Z36" s="310">
        <f t="shared" si="8"/>
        <v>752175.92592592584</v>
      </c>
    </row>
    <row r="37" spans="2:26" s="300" customFormat="1" ht="15.75" customHeight="1" x14ac:dyDescent="0.3">
      <c r="B37" s="699" t="str">
        <f>C18</f>
        <v>Capacity Buidling workshops and inititatives</v>
      </c>
      <c r="C37" s="700"/>
      <c r="D37" s="700"/>
      <c r="E37" s="700"/>
      <c r="F37" s="700"/>
      <c r="G37" s="700"/>
      <c r="H37" s="700"/>
      <c r="I37" s="701"/>
      <c r="J37" s="533"/>
      <c r="K37" s="313"/>
      <c r="L37" s="313"/>
      <c r="M37" s="313"/>
      <c r="N37" s="313"/>
      <c r="O37" s="303">
        <f>K37+L37+M37+N37</f>
        <v>0</v>
      </c>
      <c r="P37" s="313"/>
      <c r="Q37" s="313"/>
      <c r="R37" s="313"/>
      <c r="S37" s="313"/>
      <c r="T37" s="303">
        <f t="shared" si="3"/>
        <v>0</v>
      </c>
      <c r="U37" s="313"/>
      <c r="V37" s="313"/>
      <c r="W37" s="313"/>
      <c r="X37" s="313"/>
      <c r="Y37" s="303">
        <f t="shared" si="4"/>
        <v>0</v>
      </c>
      <c r="Z37" s="282"/>
    </row>
    <row r="38" spans="2:26" ht="15.75" customHeight="1" x14ac:dyDescent="0.3">
      <c r="B38" s="253" t="s">
        <v>370</v>
      </c>
      <c r="C38" s="245" t="str">
        <f t="shared" ref="C38:C44" si="9">C18</f>
        <v>Capacity Buidling workshops and inititatives</v>
      </c>
      <c r="D38" s="274"/>
      <c r="E38" s="253"/>
      <c r="F38" s="253"/>
      <c r="G38" s="271"/>
      <c r="H38" s="253"/>
      <c r="I38" s="274"/>
      <c r="J38" s="533"/>
      <c r="K38" s="304"/>
      <c r="L38" s="304"/>
      <c r="M38" s="304"/>
      <c r="N38" s="304"/>
      <c r="O38" s="303">
        <f t="shared" si="2"/>
        <v>0</v>
      </c>
      <c r="P38" s="319"/>
      <c r="Q38" s="319"/>
      <c r="R38" s="319"/>
      <c r="S38" s="319"/>
      <c r="T38" s="303">
        <f t="shared" si="3"/>
        <v>0</v>
      </c>
      <c r="U38" s="320"/>
      <c r="V38" s="320"/>
      <c r="W38" s="320"/>
      <c r="X38" s="320"/>
      <c r="Y38" s="303">
        <f t="shared" si="4"/>
        <v>0</v>
      </c>
      <c r="Z38" s="282">
        <f>O38+T38+Y38</f>
        <v>0</v>
      </c>
    </row>
    <row r="39" spans="2:26" ht="15.75" customHeight="1" x14ac:dyDescent="0.3">
      <c r="B39" s="253"/>
      <c r="C39" s="245" t="str">
        <f t="shared" si="9"/>
        <v>National Level Consultation</v>
      </c>
      <c r="D39" s="274">
        <f>K79</f>
        <v>50437.5</v>
      </c>
      <c r="E39" s="253">
        <v>2</v>
      </c>
      <c r="F39" s="253">
        <v>1</v>
      </c>
      <c r="G39" s="271">
        <v>1</v>
      </c>
      <c r="H39" s="253">
        <f t="shared" si="6"/>
        <v>100875</v>
      </c>
      <c r="I39" s="274">
        <f t="shared" si="7"/>
        <v>1868.0555555555557</v>
      </c>
      <c r="J39" s="533"/>
      <c r="K39" s="304"/>
      <c r="L39" s="304"/>
      <c r="M39" s="304">
        <f>I39*M19</f>
        <v>74722.222222222219</v>
      </c>
      <c r="N39" s="304"/>
      <c r="O39" s="303">
        <f t="shared" si="2"/>
        <v>74722.222222222219</v>
      </c>
      <c r="P39" s="319"/>
      <c r="Q39" s="319"/>
      <c r="R39" s="319">
        <f>I39*R19</f>
        <v>74722.222222222219</v>
      </c>
      <c r="S39" s="319"/>
      <c r="T39" s="303">
        <f t="shared" si="3"/>
        <v>74722.222222222219</v>
      </c>
      <c r="U39" s="320"/>
      <c r="V39" s="320"/>
      <c r="W39" s="320">
        <f>I39*W19</f>
        <v>74722.222222222219</v>
      </c>
      <c r="X39" s="320"/>
      <c r="Y39" s="303">
        <f t="shared" si="4"/>
        <v>74722.222222222219</v>
      </c>
      <c r="Z39" s="282">
        <f t="shared" ref="Z39:Z44" si="10">O39+T39+Y39</f>
        <v>224166.66666666666</v>
      </c>
    </row>
    <row r="40" spans="2:26" ht="15.75" customHeight="1" x14ac:dyDescent="0.3">
      <c r="B40" s="253"/>
      <c r="C40" s="245" t="str">
        <f t="shared" si="9"/>
        <v>National Level Training of Trainers</v>
      </c>
      <c r="D40" s="274">
        <f>L103</f>
        <v>40083.333333333328</v>
      </c>
      <c r="E40" s="253">
        <v>5</v>
      </c>
      <c r="F40" s="253">
        <v>1</v>
      </c>
      <c r="G40" s="271">
        <v>1</v>
      </c>
      <c r="H40" s="275">
        <f t="shared" si="6"/>
        <v>200416.66666666663</v>
      </c>
      <c r="I40" s="274">
        <f t="shared" si="7"/>
        <v>3711.419753086419</v>
      </c>
      <c r="J40" s="533"/>
      <c r="K40" s="304"/>
      <c r="L40" s="304"/>
      <c r="M40" s="304">
        <f>I40*M20</f>
        <v>133611.11111111109</v>
      </c>
      <c r="N40" s="304"/>
      <c r="O40" s="303">
        <f t="shared" si="2"/>
        <v>133611.11111111109</v>
      </c>
      <c r="P40" s="319"/>
      <c r="Q40" s="319"/>
      <c r="R40" s="319"/>
      <c r="S40" s="319"/>
      <c r="T40" s="303">
        <f t="shared" si="3"/>
        <v>0</v>
      </c>
      <c r="U40" s="320"/>
      <c r="V40" s="320"/>
      <c r="W40" s="320"/>
      <c r="X40" s="320"/>
      <c r="Y40" s="303">
        <f t="shared" si="4"/>
        <v>0</v>
      </c>
      <c r="Z40" s="282">
        <f t="shared" si="10"/>
        <v>133611.11111111109</v>
      </c>
    </row>
    <row r="41" spans="2:26" ht="15.75" customHeight="1" x14ac:dyDescent="0.3">
      <c r="B41" s="253"/>
      <c r="C41" s="245" t="str">
        <f t="shared" si="9"/>
        <v>State level training of Trainers</v>
      </c>
      <c r="D41" s="274">
        <f>L127</f>
        <v>22766.666666666668</v>
      </c>
      <c r="E41" s="253">
        <v>3</v>
      </c>
      <c r="F41" s="253">
        <v>1</v>
      </c>
      <c r="G41" s="271">
        <v>1</v>
      </c>
      <c r="H41" s="253">
        <f t="shared" si="6"/>
        <v>68300</v>
      </c>
      <c r="I41" s="274">
        <f t="shared" si="7"/>
        <v>1264.8148148148148</v>
      </c>
      <c r="J41" s="533"/>
      <c r="K41" s="304"/>
      <c r="L41" s="304"/>
      <c r="M41" s="304"/>
      <c r="N41" s="304">
        <f>I41*N21</f>
        <v>202370.37037037036</v>
      </c>
      <c r="O41" s="303">
        <f t="shared" si="2"/>
        <v>202370.37037037036</v>
      </c>
      <c r="P41" s="319">
        <f>I41*P21</f>
        <v>202370.37037037036</v>
      </c>
      <c r="Q41" s="319">
        <f>I42*Q21</f>
        <v>83333.333333333343</v>
      </c>
      <c r="R41" s="319"/>
      <c r="S41" s="319"/>
      <c r="T41" s="303">
        <f t="shared" si="3"/>
        <v>285703.70370370371</v>
      </c>
      <c r="U41" s="320"/>
      <c r="V41" s="320"/>
      <c r="W41" s="320"/>
      <c r="X41" s="320"/>
      <c r="Y41" s="303">
        <f t="shared" si="4"/>
        <v>0</v>
      </c>
      <c r="Z41" s="282">
        <f t="shared" si="10"/>
        <v>488074.07407407404</v>
      </c>
    </row>
    <row r="42" spans="2:26" ht="15.75" customHeight="1" x14ac:dyDescent="0.3">
      <c r="B42" s="253"/>
      <c r="C42" s="245" t="str">
        <f t="shared" si="9"/>
        <v>District Level Trainings</v>
      </c>
      <c r="D42" s="274">
        <f>L152</f>
        <v>14062.5</v>
      </c>
      <c r="E42" s="253">
        <v>2</v>
      </c>
      <c r="F42" s="253">
        <v>1</v>
      </c>
      <c r="G42" s="271">
        <v>1</v>
      </c>
      <c r="H42" s="253">
        <f t="shared" si="6"/>
        <v>28125</v>
      </c>
      <c r="I42" s="274">
        <f t="shared" si="7"/>
        <v>520.83333333333337</v>
      </c>
      <c r="J42" s="533"/>
      <c r="K42" s="304"/>
      <c r="L42" s="304"/>
      <c r="M42" s="304"/>
      <c r="N42" s="304">
        <f>I42*N22</f>
        <v>0</v>
      </c>
      <c r="O42" s="303">
        <f t="shared" si="2"/>
        <v>0</v>
      </c>
      <c r="P42" s="319">
        <f>I42*P22</f>
        <v>1256770.8333333335</v>
      </c>
      <c r="Q42" s="319">
        <f>I42*Q22</f>
        <v>1255729.1666666667</v>
      </c>
      <c r="R42" s="319">
        <f>I42*R22</f>
        <v>330729.16666666669</v>
      </c>
      <c r="S42" s="319">
        <f>I42*S22</f>
        <v>330729.16666666669</v>
      </c>
      <c r="T42" s="303">
        <f t="shared" si="3"/>
        <v>3173958.333333333</v>
      </c>
      <c r="U42" s="320">
        <f>I42*U22</f>
        <v>919270.83333333337</v>
      </c>
      <c r="V42" s="320">
        <f>I42*V22</f>
        <v>1075520.8333333335</v>
      </c>
      <c r="W42" s="320"/>
      <c r="X42" s="320"/>
      <c r="Y42" s="303">
        <f t="shared" si="4"/>
        <v>1994791.666666667</v>
      </c>
      <c r="Z42" s="282">
        <f t="shared" si="10"/>
        <v>5168750</v>
      </c>
    </row>
    <row r="43" spans="2:26" ht="15.75" customHeight="1" x14ac:dyDescent="0.3">
      <c r="B43" s="253"/>
      <c r="C43" s="245" t="str">
        <f t="shared" si="9"/>
        <v>Evaluation and assessments</v>
      </c>
      <c r="D43" s="274">
        <v>500000</v>
      </c>
      <c r="E43" s="253">
        <v>1</v>
      </c>
      <c r="F43" s="253">
        <v>1</v>
      </c>
      <c r="G43" s="271">
        <v>1</v>
      </c>
      <c r="H43" s="253">
        <f t="shared" si="6"/>
        <v>500000</v>
      </c>
      <c r="I43" s="274">
        <f t="shared" si="7"/>
        <v>9259.2592592592591</v>
      </c>
      <c r="J43" s="533"/>
      <c r="K43" s="304"/>
      <c r="L43" s="304"/>
      <c r="M43" s="304"/>
      <c r="N43" s="304"/>
      <c r="O43" s="303">
        <f t="shared" si="2"/>
        <v>0</v>
      </c>
      <c r="P43" s="319">
        <f>I43*P23</f>
        <v>37037.037037037036</v>
      </c>
      <c r="Q43" s="319"/>
      <c r="R43" s="319">
        <f>I43*R23</f>
        <v>37037.037037037036</v>
      </c>
      <c r="S43" s="319"/>
      <c r="T43" s="303">
        <f t="shared" si="3"/>
        <v>74074.074074074073</v>
      </c>
      <c r="U43" s="320">
        <f>I43*U23</f>
        <v>37037.037037037036</v>
      </c>
      <c r="V43" s="320"/>
      <c r="W43" s="320"/>
      <c r="X43" s="320"/>
      <c r="Y43" s="303">
        <f t="shared" si="4"/>
        <v>37037.037037037036</v>
      </c>
      <c r="Z43" s="282">
        <f t="shared" si="10"/>
        <v>111111.11111111111</v>
      </c>
    </row>
    <row r="44" spans="2:26" s="300" customFormat="1" ht="15.75" customHeight="1" x14ac:dyDescent="0.3">
      <c r="B44" s="263"/>
      <c r="C44" s="245" t="str">
        <f t="shared" si="9"/>
        <v>Refresher Trainings</v>
      </c>
      <c r="D44" s="313">
        <f>L152</f>
        <v>14062.5</v>
      </c>
      <c r="E44" s="253">
        <v>2</v>
      </c>
      <c r="F44" s="253">
        <v>1</v>
      </c>
      <c r="G44" s="271">
        <v>1</v>
      </c>
      <c r="H44" s="253">
        <f t="shared" si="6"/>
        <v>28125</v>
      </c>
      <c r="I44" s="274">
        <f t="shared" si="7"/>
        <v>520.83333333333337</v>
      </c>
      <c r="J44" s="533"/>
      <c r="K44" s="304"/>
      <c r="L44" s="304"/>
      <c r="M44" s="304"/>
      <c r="N44" s="304"/>
      <c r="O44" s="303">
        <f t="shared" si="2"/>
        <v>0</v>
      </c>
      <c r="P44" s="319"/>
      <c r="Q44" s="319"/>
      <c r="R44" s="319"/>
      <c r="S44" s="319"/>
      <c r="T44" s="303">
        <f t="shared" si="3"/>
        <v>0</v>
      </c>
      <c r="U44" s="320">
        <f>I44*U24</f>
        <v>625000</v>
      </c>
      <c r="V44" s="320">
        <f>I44*V24</f>
        <v>989583.33333333337</v>
      </c>
      <c r="W44" s="320">
        <f>I44*W24</f>
        <v>0</v>
      </c>
      <c r="X44" s="320">
        <f>I44*X24</f>
        <v>0</v>
      </c>
      <c r="Y44" s="303">
        <f t="shared" si="4"/>
        <v>1614583.3333333335</v>
      </c>
      <c r="Z44" s="282">
        <f t="shared" si="10"/>
        <v>1614583.3333333335</v>
      </c>
    </row>
    <row r="45" spans="2:26" x14ac:dyDescent="0.3">
      <c r="B45" s="277"/>
      <c r="C45" s="325" t="s">
        <v>56</v>
      </c>
      <c r="D45" s="286"/>
      <c r="E45" s="277"/>
      <c r="F45" s="277"/>
      <c r="G45" s="326"/>
      <c r="H45" s="277"/>
      <c r="I45" s="286"/>
      <c r="J45" s="533"/>
      <c r="K45" s="286">
        <f>K38+K39+K40+K41+K42+K43+K44</f>
        <v>0</v>
      </c>
      <c r="L45" s="286">
        <f t="shared" ref="L45:Z45" si="11">L38+L39+L40+L41+L42+L43+L44</f>
        <v>0</v>
      </c>
      <c r="M45" s="286">
        <f t="shared" si="11"/>
        <v>208333.33333333331</v>
      </c>
      <c r="N45" s="286">
        <f t="shared" si="11"/>
        <v>202370.37037037036</v>
      </c>
      <c r="O45" s="286">
        <f t="shared" si="11"/>
        <v>410703.70370370371</v>
      </c>
      <c r="P45" s="286">
        <f t="shared" si="11"/>
        <v>1496178.2407407409</v>
      </c>
      <c r="Q45" s="286">
        <f t="shared" si="11"/>
        <v>1339062.5</v>
      </c>
      <c r="R45" s="286">
        <f t="shared" si="11"/>
        <v>442488.4259259259</v>
      </c>
      <c r="S45" s="286">
        <f t="shared" si="11"/>
        <v>330729.16666666669</v>
      </c>
      <c r="T45" s="286">
        <f t="shared" si="11"/>
        <v>3608458.333333333</v>
      </c>
      <c r="U45" s="286">
        <f t="shared" si="11"/>
        <v>1581307.8703703703</v>
      </c>
      <c r="V45" s="286">
        <f t="shared" si="11"/>
        <v>2065104.166666667</v>
      </c>
      <c r="W45" s="286">
        <f t="shared" si="11"/>
        <v>74722.222222222219</v>
      </c>
      <c r="X45" s="286">
        <f t="shared" si="11"/>
        <v>0</v>
      </c>
      <c r="Y45" s="286">
        <f t="shared" si="11"/>
        <v>3721134.2592592598</v>
      </c>
      <c r="Z45" s="310">
        <f t="shared" si="11"/>
        <v>7740296.2962962966</v>
      </c>
    </row>
    <row r="46" spans="2:26" x14ac:dyDescent="0.3">
      <c r="J46" s="438"/>
    </row>
    <row r="47" spans="2:26" x14ac:dyDescent="0.3">
      <c r="J47" s="438"/>
    </row>
    <row r="48" spans="2:26" x14ac:dyDescent="0.3">
      <c r="B48" s="253"/>
      <c r="C48" s="253" t="s">
        <v>59</v>
      </c>
      <c r="D48" s="253"/>
      <c r="E48" s="253"/>
      <c r="F48" s="253"/>
      <c r="G48" s="253"/>
      <c r="H48" s="253"/>
      <c r="I48" s="253"/>
      <c r="J48" s="53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</row>
    <row r="49" spans="1:26" x14ac:dyDescent="0.3">
      <c r="B49" s="253"/>
      <c r="C49" s="253"/>
      <c r="D49" s="253"/>
      <c r="E49" s="253"/>
      <c r="F49" s="253"/>
      <c r="G49" s="253"/>
      <c r="H49" s="253"/>
      <c r="I49" s="253"/>
      <c r="J49" s="533"/>
      <c r="K49" s="704" t="s">
        <v>26</v>
      </c>
      <c r="L49" s="704"/>
      <c r="M49" s="704"/>
      <c r="N49" s="704"/>
      <c r="O49" s="288"/>
      <c r="P49" s="704" t="s">
        <v>27</v>
      </c>
      <c r="Q49" s="704"/>
      <c r="R49" s="704"/>
      <c r="S49" s="704"/>
      <c r="T49" s="289"/>
      <c r="U49" s="704" t="s">
        <v>28</v>
      </c>
      <c r="V49" s="704"/>
      <c r="W49" s="704"/>
      <c r="X49" s="704"/>
      <c r="Y49" s="274"/>
      <c r="Z49" s="315" t="s">
        <v>19</v>
      </c>
    </row>
    <row r="50" spans="1:26" x14ac:dyDescent="0.3">
      <c r="B50" s="253"/>
      <c r="C50" s="253"/>
      <c r="D50" s="253"/>
      <c r="E50" s="253"/>
      <c r="F50" s="253"/>
      <c r="G50" s="253"/>
      <c r="H50" s="253"/>
      <c r="I50" s="253"/>
      <c r="J50" s="533"/>
      <c r="K50" s="316" t="s">
        <v>36</v>
      </c>
      <c r="L50" s="316" t="s">
        <v>37</v>
      </c>
      <c r="M50" s="316" t="s">
        <v>38</v>
      </c>
      <c r="N50" s="316" t="s">
        <v>39</v>
      </c>
      <c r="O50" s="274" t="s">
        <v>9</v>
      </c>
      <c r="P50" s="274" t="s">
        <v>36</v>
      </c>
      <c r="Q50" s="274" t="s">
        <v>37</v>
      </c>
      <c r="R50" s="274" t="s">
        <v>38</v>
      </c>
      <c r="S50" s="274" t="s">
        <v>39</v>
      </c>
      <c r="T50" s="274" t="s">
        <v>9</v>
      </c>
      <c r="U50" s="274" t="s">
        <v>36</v>
      </c>
      <c r="V50" s="274" t="s">
        <v>37</v>
      </c>
      <c r="W50" s="274" t="s">
        <v>38</v>
      </c>
      <c r="X50" s="274" t="s">
        <v>39</v>
      </c>
      <c r="Y50" s="290" t="s">
        <v>9</v>
      </c>
      <c r="Z50" s="315"/>
    </row>
    <row r="51" spans="1:26" x14ac:dyDescent="0.3">
      <c r="B51" s="253" t="s">
        <v>369</v>
      </c>
      <c r="C51" s="253" t="str">
        <f>C3</f>
        <v>Development and Piloting of training modules and Curriculum</v>
      </c>
      <c r="D51" s="253"/>
      <c r="E51" s="253"/>
      <c r="F51" s="253"/>
      <c r="G51" s="253"/>
      <c r="H51" s="253"/>
      <c r="I51" s="253"/>
      <c r="J51" s="533"/>
      <c r="K51" s="317">
        <f t="shared" ref="K51:Z51" si="12">K36</f>
        <v>1851.851851851852</v>
      </c>
      <c r="L51" s="317">
        <f t="shared" si="12"/>
        <v>55879.629629629628</v>
      </c>
      <c r="M51" s="317">
        <f t="shared" si="12"/>
        <v>694444.44444444438</v>
      </c>
      <c r="N51" s="317">
        <f t="shared" si="12"/>
        <v>0</v>
      </c>
      <c r="O51" s="317">
        <f t="shared" si="12"/>
        <v>752175.92592592584</v>
      </c>
      <c r="P51" s="317">
        <f t="shared" si="12"/>
        <v>0</v>
      </c>
      <c r="Q51" s="317">
        <f t="shared" si="12"/>
        <v>0</v>
      </c>
      <c r="R51" s="317">
        <f t="shared" si="12"/>
        <v>0</v>
      </c>
      <c r="S51" s="317">
        <f t="shared" si="12"/>
        <v>0</v>
      </c>
      <c r="T51" s="317">
        <f t="shared" si="12"/>
        <v>0</v>
      </c>
      <c r="U51" s="317">
        <f t="shared" si="12"/>
        <v>0</v>
      </c>
      <c r="V51" s="317">
        <f t="shared" si="12"/>
        <v>0</v>
      </c>
      <c r="W51" s="317">
        <f t="shared" si="12"/>
        <v>0</v>
      </c>
      <c r="X51" s="317">
        <f t="shared" si="12"/>
        <v>0</v>
      </c>
      <c r="Y51" s="317">
        <f t="shared" si="12"/>
        <v>0</v>
      </c>
      <c r="Z51" s="317">
        <f t="shared" si="12"/>
        <v>752175.92592592584</v>
      </c>
    </row>
    <row r="52" spans="1:26" x14ac:dyDescent="0.3">
      <c r="B52" s="253" t="s">
        <v>370</v>
      </c>
      <c r="C52" s="253" t="str">
        <f>C4</f>
        <v>Capacity Buidling workshops and inititatives</v>
      </c>
      <c r="D52" s="253"/>
      <c r="E52" s="253"/>
      <c r="F52" s="253"/>
      <c r="G52" s="253"/>
      <c r="H52" s="253"/>
      <c r="I52" s="253"/>
      <c r="J52" s="533"/>
      <c r="K52" s="317">
        <f t="shared" ref="K52:Z52" si="13">K45</f>
        <v>0</v>
      </c>
      <c r="L52" s="317">
        <f t="shared" si="13"/>
        <v>0</v>
      </c>
      <c r="M52" s="317">
        <f t="shared" si="13"/>
        <v>208333.33333333331</v>
      </c>
      <c r="N52" s="317">
        <f t="shared" si="13"/>
        <v>202370.37037037036</v>
      </c>
      <c r="O52" s="317">
        <f t="shared" si="13"/>
        <v>410703.70370370371</v>
      </c>
      <c r="P52" s="317">
        <f t="shared" si="13"/>
        <v>1496178.2407407409</v>
      </c>
      <c r="Q52" s="317">
        <f t="shared" si="13"/>
        <v>1339062.5</v>
      </c>
      <c r="R52" s="317">
        <f t="shared" si="13"/>
        <v>442488.4259259259</v>
      </c>
      <c r="S52" s="317">
        <f t="shared" si="13"/>
        <v>330729.16666666669</v>
      </c>
      <c r="T52" s="317">
        <f t="shared" si="13"/>
        <v>3608458.333333333</v>
      </c>
      <c r="U52" s="317">
        <f t="shared" si="13"/>
        <v>1581307.8703703703</v>
      </c>
      <c r="V52" s="317">
        <f t="shared" si="13"/>
        <v>2065104.166666667</v>
      </c>
      <c r="W52" s="317">
        <f t="shared" si="13"/>
        <v>74722.222222222219</v>
      </c>
      <c r="X52" s="317">
        <f t="shared" si="13"/>
        <v>0</v>
      </c>
      <c r="Y52" s="317">
        <f t="shared" si="13"/>
        <v>3721134.2592592598</v>
      </c>
      <c r="Z52" s="317">
        <f t="shared" si="13"/>
        <v>7740296.2962962966</v>
      </c>
    </row>
    <row r="53" spans="1:26" x14ac:dyDescent="0.3">
      <c r="B53" s="253"/>
      <c r="C53" s="291" t="s">
        <v>59</v>
      </c>
      <c r="D53" s="291"/>
      <c r="E53" s="291"/>
      <c r="F53" s="291"/>
      <c r="G53" s="291"/>
      <c r="H53" s="291"/>
      <c r="I53" s="291"/>
      <c r="J53" s="534"/>
      <c r="K53" s="292">
        <f>K51+K52</f>
        <v>1851.851851851852</v>
      </c>
      <c r="L53" s="292">
        <f t="shared" ref="L53:Z53" si="14">L51+L52</f>
        <v>55879.629629629628</v>
      </c>
      <c r="M53" s="292">
        <f t="shared" si="14"/>
        <v>902777.77777777775</v>
      </c>
      <c r="N53" s="292">
        <f t="shared" si="14"/>
        <v>202370.37037037036</v>
      </c>
      <c r="O53" s="292">
        <f t="shared" si="14"/>
        <v>1162879.6296296297</v>
      </c>
      <c r="P53" s="292">
        <f t="shared" si="14"/>
        <v>1496178.2407407409</v>
      </c>
      <c r="Q53" s="292">
        <f t="shared" si="14"/>
        <v>1339062.5</v>
      </c>
      <c r="R53" s="292">
        <f t="shared" si="14"/>
        <v>442488.4259259259</v>
      </c>
      <c r="S53" s="292">
        <f t="shared" si="14"/>
        <v>330729.16666666669</v>
      </c>
      <c r="T53" s="292">
        <f t="shared" si="14"/>
        <v>3608458.333333333</v>
      </c>
      <c r="U53" s="292">
        <f t="shared" si="14"/>
        <v>1581307.8703703703</v>
      </c>
      <c r="V53" s="292">
        <f t="shared" si="14"/>
        <v>2065104.166666667</v>
      </c>
      <c r="W53" s="292">
        <f t="shared" si="14"/>
        <v>74722.222222222219</v>
      </c>
      <c r="X53" s="292">
        <f t="shared" si="14"/>
        <v>0</v>
      </c>
      <c r="Y53" s="292">
        <f t="shared" si="14"/>
        <v>3721134.2592592598</v>
      </c>
      <c r="Z53" s="292">
        <f t="shared" si="14"/>
        <v>8492472.222222222</v>
      </c>
    </row>
    <row r="54" spans="1:26" s="300" customFormat="1" x14ac:dyDescent="0.3">
      <c r="B54" s="215"/>
      <c r="C54" s="311"/>
      <c r="D54" s="311"/>
      <c r="E54" s="311"/>
      <c r="F54" s="311"/>
      <c r="G54" s="311"/>
      <c r="H54" s="311"/>
      <c r="I54" s="311"/>
      <c r="J54" s="534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</row>
    <row r="55" spans="1:26" x14ac:dyDescent="0.3">
      <c r="B55" s="746" t="s">
        <v>61</v>
      </c>
      <c r="C55" s="746"/>
      <c r="D55" s="746"/>
      <c r="E55" s="746"/>
      <c r="F55" s="746"/>
      <c r="G55" s="746"/>
      <c r="H55" s="746"/>
      <c r="I55" s="746"/>
      <c r="J55" s="746"/>
    </row>
    <row r="57" spans="1:26" x14ac:dyDescent="0.3">
      <c r="A57" s="699" t="s">
        <v>382</v>
      </c>
      <c r="B57" s="700"/>
      <c r="C57" s="700"/>
      <c r="D57" s="700"/>
      <c r="E57" s="700"/>
      <c r="F57" s="700"/>
      <c r="G57" s="700"/>
      <c r="H57" s="700"/>
      <c r="I57" s="700"/>
      <c r="J57" s="700"/>
      <c r="K57" s="322"/>
      <c r="L57" s="322"/>
    </row>
    <row r="58" spans="1:26" x14ac:dyDescent="0.3">
      <c r="A58" s="327"/>
      <c r="B58" s="327"/>
      <c r="C58" s="327" t="s">
        <v>4</v>
      </c>
      <c r="D58" s="327" t="s">
        <v>79</v>
      </c>
      <c r="E58" s="327" t="s">
        <v>80</v>
      </c>
      <c r="F58" s="327" t="s">
        <v>50</v>
      </c>
      <c r="G58" s="327" t="s">
        <v>57</v>
      </c>
      <c r="H58" s="328" t="s">
        <v>53</v>
      </c>
      <c r="I58" s="329" t="s">
        <v>65</v>
      </c>
      <c r="J58" s="329" t="s">
        <v>81</v>
      </c>
      <c r="K58" s="322"/>
      <c r="L58" s="322"/>
    </row>
    <row r="59" spans="1:26" x14ac:dyDescent="0.3">
      <c r="A59" s="741" t="s">
        <v>82</v>
      </c>
      <c r="B59" s="742"/>
      <c r="C59" s="742"/>
      <c r="D59" s="743"/>
      <c r="E59" s="330"/>
      <c r="F59" s="330"/>
      <c r="G59" s="330"/>
      <c r="H59" s="331"/>
      <c r="I59" s="330"/>
      <c r="J59" s="330"/>
      <c r="K59" s="322"/>
      <c r="L59" s="322"/>
    </row>
    <row r="60" spans="1:26" x14ac:dyDescent="0.3">
      <c r="A60" s="253">
        <v>1</v>
      </c>
      <c r="B60" s="253" t="s">
        <v>83</v>
      </c>
      <c r="C60" s="253"/>
      <c r="D60" s="253"/>
      <c r="E60" s="253"/>
      <c r="F60" s="253"/>
      <c r="G60" s="253"/>
      <c r="H60" s="271"/>
      <c r="I60" s="253"/>
      <c r="J60" s="253"/>
      <c r="K60" s="322"/>
      <c r="L60" s="322"/>
    </row>
    <row r="61" spans="1:26" x14ac:dyDescent="0.3">
      <c r="A61" s="253"/>
      <c r="B61" s="253" t="s">
        <v>84</v>
      </c>
      <c r="C61" s="253"/>
      <c r="D61" s="253" t="s">
        <v>85</v>
      </c>
      <c r="E61" s="253">
        <v>5</v>
      </c>
      <c r="F61" s="29">
        <v>50000</v>
      </c>
      <c r="G61" s="253">
        <v>4</v>
      </c>
      <c r="H61" s="271">
        <v>1</v>
      </c>
      <c r="I61" s="276">
        <f>E61*F61*G61*H61</f>
        <v>1000000</v>
      </c>
      <c r="J61" s="332">
        <f>I61/54</f>
        <v>18518.518518518518</v>
      </c>
      <c r="K61" s="322"/>
      <c r="L61" s="322"/>
    </row>
    <row r="62" spans="1:26" x14ac:dyDescent="0.3">
      <c r="A62" s="253"/>
      <c r="B62" s="253" t="s">
        <v>86</v>
      </c>
      <c r="C62" s="253" t="s">
        <v>87</v>
      </c>
      <c r="D62" s="253"/>
      <c r="E62" s="253"/>
      <c r="F62" s="29"/>
      <c r="G62" s="253"/>
      <c r="H62" s="271"/>
      <c r="I62" s="253"/>
      <c r="J62" s="332">
        <f t="shared" ref="J62:J66" si="15">I62/54</f>
        <v>0</v>
      </c>
      <c r="K62" s="322"/>
      <c r="L62" s="322"/>
    </row>
    <row r="63" spans="1:26" x14ac:dyDescent="0.3">
      <c r="A63" s="253"/>
      <c r="B63" s="253"/>
      <c r="C63" s="253" t="s">
        <v>88</v>
      </c>
      <c r="D63" s="253"/>
      <c r="E63" s="263">
        <v>5</v>
      </c>
      <c r="F63" s="29">
        <v>100000</v>
      </c>
      <c r="G63" s="253">
        <v>1</v>
      </c>
      <c r="H63" s="271">
        <v>1</v>
      </c>
      <c r="I63" s="276">
        <f>E63*F63*G63*H63</f>
        <v>500000</v>
      </c>
      <c r="J63" s="332">
        <f t="shared" si="15"/>
        <v>9259.2592592592591</v>
      </c>
      <c r="K63" s="322"/>
      <c r="L63" s="322"/>
    </row>
    <row r="64" spans="1:26" x14ac:dyDescent="0.3">
      <c r="A64" s="253"/>
      <c r="B64" s="253"/>
      <c r="C64" s="253" t="s">
        <v>89</v>
      </c>
      <c r="D64" s="253"/>
      <c r="E64" s="263">
        <v>5</v>
      </c>
      <c r="F64" s="29">
        <v>2500</v>
      </c>
      <c r="G64" s="253">
        <v>4</v>
      </c>
      <c r="H64" s="271">
        <v>1</v>
      </c>
      <c r="I64" s="276">
        <f>E64*F64*G64*H64</f>
        <v>50000</v>
      </c>
      <c r="J64" s="332">
        <f t="shared" si="15"/>
        <v>925.92592592592598</v>
      </c>
      <c r="K64" s="322"/>
      <c r="L64" s="322"/>
    </row>
    <row r="65" spans="1:12" x14ac:dyDescent="0.3">
      <c r="A65" s="253"/>
      <c r="B65" s="253"/>
      <c r="C65" s="253" t="s">
        <v>90</v>
      </c>
      <c r="D65" s="253"/>
      <c r="E65" s="263">
        <v>5</v>
      </c>
      <c r="F65" s="29">
        <v>10000</v>
      </c>
      <c r="G65" s="253">
        <v>4</v>
      </c>
      <c r="H65" s="271">
        <v>1</v>
      </c>
      <c r="I65" s="276">
        <f>E65*F65*G65*H65</f>
        <v>200000</v>
      </c>
      <c r="J65" s="332">
        <f t="shared" si="15"/>
        <v>3703.7037037037039</v>
      </c>
      <c r="K65" s="322"/>
      <c r="L65" s="322"/>
    </row>
    <row r="66" spans="1:12" x14ac:dyDescent="0.3">
      <c r="A66" s="253"/>
      <c r="B66" s="253"/>
      <c r="C66" s="253"/>
      <c r="D66" s="333" t="s">
        <v>10</v>
      </c>
      <c r="E66" s="333"/>
      <c r="F66" s="30"/>
      <c r="G66" s="333"/>
      <c r="H66" s="334"/>
      <c r="I66" s="335">
        <f>SUM(I61:I65)</f>
        <v>1750000</v>
      </c>
      <c r="J66" s="335">
        <f t="shared" si="15"/>
        <v>32407.407407407409</v>
      </c>
      <c r="K66" s="322"/>
      <c r="L66" s="322"/>
    </row>
    <row r="67" spans="1:12" x14ac:dyDescent="0.3">
      <c r="A67" s="336"/>
      <c r="B67" s="336"/>
      <c r="C67" s="336"/>
      <c r="D67" s="336"/>
      <c r="E67" s="336"/>
      <c r="F67" s="31"/>
      <c r="G67" s="336"/>
      <c r="H67" s="337"/>
      <c r="I67" s="338"/>
      <c r="J67" s="336"/>
      <c r="K67" s="339"/>
      <c r="L67" s="339"/>
    </row>
    <row r="68" spans="1:12" x14ac:dyDescent="0.3">
      <c r="A68" s="747" t="s">
        <v>91</v>
      </c>
      <c r="B68" s="748"/>
      <c r="C68" s="748"/>
      <c r="D68" s="749"/>
      <c r="E68" s="340"/>
      <c r="F68" s="32"/>
      <c r="G68" s="340"/>
      <c r="H68" s="341"/>
      <c r="I68" s="340"/>
      <c r="J68" s="340"/>
      <c r="K68" s="322"/>
      <c r="L68" s="322"/>
    </row>
    <row r="69" spans="1:12" x14ac:dyDescent="0.3">
      <c r="A69" s="253"/>
      <c r="B69" s="253" t="s">
        <v>92</v>
      </c>
      <c r="C69" s="253" t="s">
        <v>93</v>
      </c>
      <c r="D69" s="253"/>
      <c r="E69" s="253">
        <v>40</v>
      </c>
      <c r="F69" s="29">
        <v>2000</v>
      </c>
      <c r="G69" s="253">
        <v>2</v>
      </c>
      <c r="H69" s="271">
        <v>1</v>
      </c>
      <c r="I69" s="276">
        <f t="shared" ref="I69:I76" si="16">E69*F69*G69*H69</f>
        <v>160000</v>
      </c>
      <c r="J69" s="276">
        <f>I69/54</f>
        <v>2962.962962962963</v>
      </c>
      <c r="K69" s="322"/>
      <c r="L69" s="322"/>
    </row>
    <row r="70" spans="1:12" x14ac:dyDescent="0.3">
      <c r="A70" s="253"/>
      <c r="B70" s="253" t="s">
        <v>86</v>
      </c>
      <c r="C70" s="253" t="s">
        <v>94</v>
      </c>
      <c r="D70" s="253"/>
      <c r="E70" s="253">
        <v>30</v>
      </c>
      <c r="F70" s="29">
        <v>20000</v>
      </c>
      <c r="G70" s="253">
        <v>1</v>
      </c>
      <c r="H70" s="271">
        <v>1</v>
      </c>
      <c r="I70" s="276">
        <f t="shared" si="16"/>
        <v>600000</v>
      </c>
      <c r="J70" s="276">
        <f t="shared" ref="J70:J76" si="17">I70/54</f>
        <v>11111.111111111111</v>
      </c>
      <c r="K70" s="322"/>
      <c r="L70" s="322"/>
    </row>
    <row r="71" spans="1:12" x14ac:dyDescent="0.3">
      <c r="A71" s="253"/>
      <c r="B71" s="253" t="s">
        <v>95</v>
      </c>
      <c r="C71" s="253" t="s">
        <v>96</v>
      </c>
      <c r="D71" s="253"/>
      <c r="E71" s="253">
        <v>30</v>
      </c>
      <c r="F71" s="29">
        <v>10000</v>
      </c>
      <c r="G71" s="253">
        <v>3</v>
      </c>
      <c r="H71" s="271">
        <v>1</v>
      </c>
      <c r="I71" s="276">
        <f t="shared" si="16"/>
        <v>900000</v>
      </c>
      <c r="J71" s="276">
        <f t="shared" si="17"/>
        <v>16666.666666666668</v>
      </c>
      <c r="K71" s="322"/>
      <c r="L71" s="322"/>
    </row>
    <row r="72" spans="1:12" x14ac:dyDescent="0.3">
      <c r="A72" s="253"/>
      <c r="B72" s="253" t="s">
        <v>97</v>
      </c>
      <c r="C72" s="253" t="s">
        <v>171</v>
      </c>
      <c r="D72" s="253" t="s">
        <v>172</v>
      </c>
      <c r="E72" s="253">
        <v>40</v>
      </c>
      <c r="F72" s="29">
        <v>2500</v>
      </c>
      <c r="G72" s="253">
        <v>3</v>
      </c>
      <c r="H72" s="271">
        <v>1</v>
      </c>
      <c r="I72" s="276">
        <f t="shared" si="16"/>
        <v>300000</v>
      </c>
      <c r="J72" s="276">
        <f t="shared" si="17"/>
        <v>5555.5555555555557</v>
      </c>
      <c r="K72" s="322"/>
      <c r="L72" s="322"/>
    </row>
    <row r="73" spans="1:12" x14ac:dyDescent="0.3">
      <c r="A73" s="253"/>
      <c r="B73" s="253" t="s">
        <v>99</v>
      </c>
      <c r="C73" s="253" t="s">
        <v>100</v>
      </c>
      <c r="D73" s="253"/>
      <c r="E73" s="253">
        <v>1</v>
      </c>
      <c r="F73" s="29">
        <v>45000</v>
      </c>
      <c r="G73" s="253">
        <v>3</v>
      </c>
      <c r="H73" s="271">
        <v>1</v>
      </c>
      <c r="I73" s="276">
        <f t="shared" si="16"/>
        <v>135000</v>
      </c>
      <c r="J73" s="276">
        <f t="shared" si="17"/>
        <v>2500</v>
      </c>
      <c r="K73" s="322"/>
      <c r="L73" s="322"/>
    </row>
    <row r="74" spans="1:12" x14ac:dyDescent="0.3">
      <c r="A74" s="253"/>
      <c r="B74" s="253" t="s">
        <v>101</v>
      </c>
      <c r="C74" s="253" t="s">
        <v>102</v>
      </c>
      <c r="D74" s="253"/>
      <c r="E74" s="253">
        <v>2</v>
      </c>
      <c r="F74" s="29">
        <v>25000</v>
      </c>
      <c r="G74" s="253">
        <v>1</v>
      </c>
      <c r="H74" s="271">
        <v>1</v>
      </c>
      <c r="I74" s="276">
        <f t="shared" si="16"/>
        <v>50000</v>
      </c>
      <c r="J74" s="276">
        <f t="shared" si="17"/>
        <v>925.92592592592598</v>
      </c>
      <c r="K74" s="322"/>
      <c r="L74" s="322"/>
    </row>
    <row r="75" spans="1:12" x14ac:dyDescent="0.3">
      <c r="A75" s="253"/>
      <c r="B75" s="253" t="s">
        <v>103</v>
      </c>
      <c r="C75" s="253" t="s">
        <v>104</v>
      </c>
      <c r="D75" s="253" t="s">
        <v>105</v>
      </c>
      <c r="E75" s="253">
        <v>2</v>
      </c>
      <c r="F75" s="29">
        <v>25000</v>
      </c>
      <c r="G75" s="253">
        <v>2</v>
      </c>
      <c r="H75" s="271">
        <v>1</v>
      </c>
      <c r="I75" s="276">
        <f t="shared" si="16"/>
        <v>100000</v>
      </c>
      <c r="J75" s="276">
        <f t="shared" si="17"/>
        <v>1851.851851851852</v>
      </c>
      <c r="K75" s="562"/>
      <c r="L75" s="322"/>
    </row>
    <row r="76" spans="1:12" x14ac:dyDescent="0.3">
      <c r="A76" s="253"/>
      <c r="B76" s="253" t="s">
        <v>106</v>
      </c>
      <c r="C76" s="253" t="s">
        <v>107</v>
      </c>
      <c r="D76" s="253"/>
      <c r="E76" s="253">
        <v>40</v>
      </c>
      <c r="F76" s="29">
        <v>500</v>
      </c>
      <c r="G76" s="253">
        <v>2</v>
      </c>
      <c r="H76" s="271">
        <v>1</v>
      </c>
      <c r="I76" s="276">
        <f t="shared" si="16"/>
        <v>40000</v>
      </c>
      <c r="J76" s="276">
        <f t="shared" si="17"/>
        <v>740.74074074074076</v>
      </c>
      <c r="K76" s="562"/>
      <c r="L76" s="322"/>
    </row>
    <row r="77" spans="1:12" x14ac:dyDescent="0.3">
      <c r="A77" s="253"/>
      <c r="B77" s="253"/>
      <c r="C77" s="253"/>
      <c r="D77" s="333" t="s">
        <v>10</v>
      </c>
      <c r="E77" s="333"/>
      <c r="F77" s="30"/>
      <c r="G77" s="333"/>
      <c r="H77" s="334"/>
      <c r="I77" s="335">
        <f>SUM(I69:I76)</f>
        <v>2285000</v>
      </c>
      <c r="J77" s="335">
        <f>SUM(J69:J76)</f>
        <v>42314.814814814818</v>
      </c>
      <c r="K77" s="562"/>
      <c r="L77" s="322"/>
    </row>
    <row r="78" spans="1:12" x14ac:dyDescent="0.3">
      <c r="A78" s="253"/>
      <c r="B78" s="253"/>
      <c r="C78" s="253"/>
      <c r="D78" s="253"/>
      <c r="E78" s="253"/>
      <c r="F78" s="253"/>
      <c r="G78" s="253"/>
      <c r="H78" s="271"/>
      <c r="I78" s="253"/>
      <c r="J78" s="253"/>
      <c r="K78" s="560" t="s">
        <v>50</v>
      </c>
      <c r="L78" s="342"/>
    </row>
    <row r="79" spans="1:12" x14ac:dyDescent="0.3">
      <c r="A79" s="253"/>
      <c r="B79" s="253"/>
      <c r="C79" s="253"/>
      <c r="D79" s="343" t="s">
        <v>19</v>
      </c>
      <c r="E79" s="343"/>
      <c r="F79" s="343"/>
      <c r="G79" s="343"/>
      <c r="H79" s="344"/>
      <c r="I79" s="345">
        <f>I66+I77</f>
        <v>4035000</v>
      </c>
      <c r="J79" s="345">
        <f>J66+J77</f>
        <v>74722.222222222219</v>
      </c>
      <c r="K79" s="561">
        <f>(I79/40)/2</f>
        <v>50437.5</v>
      </c>
      <c r="L79" s="342"/>
    </row>
    <row r="80" spans="1:12" x14ac:dyDescent="0.3">
      <c r="K80" s="563"/>
    </row>
    <row r="81" spans="1:12" x14ac:dyDescent="0.3">
      <c r="A81" s="699" t="s">
        <v>383</v>
      </c>
      <c r="B81" s="700"/>
      <c r="C81" s="700"/>
      <c r="D81" s="700"/>
      <c r="E81" s="700"/>
      <c r="F81" s="700"/>
      <c r="G81" s="700"/>
      <c r="H81" s="700"/>
      <c r="I81" s="700"/>
      <c r="J81" s="700"/>
      <c r="K81" s="562"/>
      <c r="L81" s="322"/>
    </row>
    <row r="82" spans="1:12" x14ac:dyDescent="0.3">
      <c r="A82" s="327"/>
      <c r="B82" s="327"/>
      <c r="C82" s="327" t="s">
        <v>4</v>
      </c>
      <c r="D82" s="327" t="s">
        <v>79</v>
      </c>
      <c r="E82" s="327" t="s">
        <v>80</v>
      </c>
      <c r="F82" s="327" t="s">
        <v>50</v>
      </c>
      <c r="G82" s="327" t="s">
        <v>57</v>
      </c>
      <c r="H82" s="328" t="s">
        <v>53</v>
      </c>
      <c r="I82" s="329" t="s">
        <v>65</v>
      </c>
      <c r="J82" s="329" t="s">
        <v>81</v>
      </c>
      <c r="K82" s="562"/>
      <c r="L82" s="322"/>
    </row>
    <row r="83" spans="1:12" x14ac:dyDescent="0.3">
      <c r="A83" s="741" t="s">
        <v>82</v>
      </c>
      <c r="B83" s="742"/>
      <c r="C83" s="742"/>
      <c r="D83" s="743"/>
      <c r="E83" s="330"/>
      <c r="F83" s="330"/>
      <c r="G83" s="330"/>
      <c r="H83" s="331"/>
      <c r="I83" s="330"/>
      <c r="J83" s="330"/>
      <c r="K83" s="562"/>
      <c r="L83" s="322"/>
    </row>
    <row r="84" spans="1:12" x14ac:dyDescent="0.3">
      <c r="A84" s="253">
        <v>1</v>
      </c>
      <c r="B84" s="253" t="s">
        <v>108</v>
      </c>
      <c r="C84" s="253"/>
      <c r="D84" s="253"/>
      <c r="E84" s="253"/>
      <c r="F84" s="253"/>
      <c r="G84" s="253"/>
      <c r="H84" s="271"/>
      <c r="I84" s="253"/>
      <c r="J84" s="253"/>
      <c r="K84" s="322"/>
      <c r="L84" s="322"/>
    </row>
    <row r="85" spans="1:12" x14ac:dyDescent="0.3">
      <c r="A85" s="253"/>
      <c r="B85" s="253" t="s">
        <v>84</v>
      </c>
      <c r="C85" s="253"/>
      <c r="D85" s="253" t="s">
        <v>85</v>
      </c>
      <c r="E85" s="253">
        <v>4</v>
      </c>
      <c r="F85" s="29">
        <v>50000</v>
      </c>
      <c r="G85" s="253">
        <v>10</v>
      </c>
      <c r="H85" s="271">
        <v>1</v>
      </c>
      <c r="I85" s="276">
        <f>E85*F85*G85*H85</f>
        <v>2000000</v>
      </c>
      <c r="J85" s="332">
        <f>I85/54</f>
        <v>37037.037037037036</v>
      </c>
      <c r="K85" s="322"/>
      <c r="L85" s="322"/>
    </row>
    <row r="86" spans="1:12" x14ac:dyDescent="0.3">
      <c r="A86" s="253"/>
      <c r="B86" s="253" t="s">
        <v>86</v>
      </c>
      <c r="C86" s="253" t="s">
        <v>87</v>
      </c>
      <c r="D86" s="253"/>
      <c r="E86" s="253"/>
      <c r="F86" s="29"/>
      <c r="G86" s="253"/>
      <c r="H86" s="271"/>
      <c r="I86" s="253"/>
      <c r="J86" s="332">
        <f t="shared" ref="J86:J90" si="18">I86/54</f>
        <v>0</v>
      </c>
      <c r="K86" s="322"/>
      <c r="L86" s="322"/>
    </row>
    <row r="87" spans="1:12" x14ac:dyDescent="0.3">
      <c r="A87" s="253"/>
      <c r="B87" s="253"/>
      <c r="C87" s="253" t="s">
        <v>88</v>
      </c>
      <c r="D87" s="253"/>
      <c r="E87" s="263">
        <v>4</v>
      </c>
      <c r="F87" s="29">
        <v>25000</v>
      </c>
      <c r="G87" s="253">
        <v>1</v>
      </c>
      <c r="H87" s="271">
        <v>1</v>
      </c>
      <c r="I87" s="276">
        <f>E87*F87*G87*H87</f>
        <v>100000</v>
      </c>
      <c r="J87" s="332">
        <f t="shared" si="18"/>
        <v>1851.851851851852</v>
      </c>
      <c r="K87" s="322"/>
      <c r="L87" s="322"/>
    </row>
    <row r="88" spans="1:12" x14ac:dyDescent="0.3">
      <c r="A88" s="253"/>
      <c r="B88" s="253"/>
      <c r="C88" s="253" t="s">
        <v>89</v>
      </c>
      <c r="D88" s="253"/>
      <c r="E88" s="263">
        <v>4</v>
      </c>
      <c r="F88" s="29">
        <v>2500</v>
      </c>
      <c r="G88" s="253">
        <v>10</v>
      </c>
      <c r="H88" s="271">
        <v>1</v>
      </c>
      <c r="I88" s="276">
        <f>E88*F88*G88*H88</f>
        <v>100000</v>
      </c>
      <c r="J88" s="332">
        <f t="shared" si="18"/>
        <v>1851.851851851852</v>
      </c>
      <c r="K88" s="322"/>
      <c r="L88" s="322"/>
    </row>
    <row r="89" spans="1:12" x14ac:dyDescent="0.3">
      <c r="A89" s="253"/>
      <c r="B89" s="253"/>
      <c r="C89" s="253" t="s">
        <v>90</v>
      </c>
      <c r="D89" s="253"/>
      <c r="E89" s="263">
        <v>4</v>
      </c>
      <c r="F89" s="29">
        <v>10000</v>
      </c>
      <c r="G89" s="253">
        <v>10</v>
      </c>
      <c r="H89" s="271">
        <v>1</v>
      </c>
      <c r="I89" s="276">
        <f>E89*F89*G89*H89</f>
        <v>400000</v>
      </c>
      <c r="J89" s="332">
        <f t="shared" si="18"/>
        <v>7407.4074074074078</v>
      </c>
      <c r="K89" s="322"/>
      <c r="L89" s="322"/>
    </row>
    <row r="90" spans="1:12" x14ac:dyDescent="0.3">
      <c r="A90" s="253"/>
      <c r="B90" s="253"/>
      <c r="C90" s="253"/>
      <c r="D90" s="333" t="s">
        <v>10</v>
      </c>
      <c r="E90" s="333"/>
      <c r="F90" s="30"/>
      <c r="G90" s="333"/>
      <c r="H90" s="334"/>
      <c r="I90" s="335">
        <f>SUM(I85:I89)</f>
        <v>2600000</v>
      </c>
      <c r="J90" s="335">
        <f t="shared" si="18"/>
        <v>48148.148148148146</v>
      </c>
      <c r="K90" s="322"/>
      <c r="L90" s="322"/>
    </row>
    <row r="91" spans="1:12" x14ac:dyDescent="0.3">
      <c r="A91" s="336"/>
      <c r="B91" s="336"/>
      <c r="C91" s="336"/>
      <c r="D91" s="336"/>
      <c r="E91" s="336"/>
      <c r="F91" s="31"/>
      <c r="G91" s="336"/>
      <c r="H91" s="337"/>
      <c r="I91" s="338"/>
      <c r="J91" s="336"/>
      <c r="K91" s="322"/>
      <c r="L91" s="322"/>
    </row>
    <row r="92" spans="1:12" x14ac:dyDescent="0.3">
      <c r="A92" s="747" t="s">
        <v>91</v>
      </c>
      <c r="B92" s="748"/>
      <c r="C92" s="748"/>
      <c r="D92" s="749"/>
      <c r="E92" s="340"/>
      <c r="F92" s="32"/>
      <c r="G92" s="340"/>
      <c r="H92" s="341"/>
      <c r="I92" s="340"/>
      <c r="J92" s="340"/>
      <c r="K92" s="322"/>
      <c r="L92" s="322"/>
    </row>
    <row r="93" spans="1:12" x14ac:dyDescent="0.3">
      <c r="A93" s="253"/>
      <c r="B93" s="253" t="s">
        <v>92</v>
      </c>
      <c r="C93" s="253" t="s">
        <v>93</v>
      </c>
      <c r="D93" s="253"/>
      <c r="E93" s="253">
        <v>36</v>
      </c>
      <c r="F93" s="29">
        <v>2000</v>
      </c>
      <c r="G93" s="253">
        <v>5</v>
      </c>
      <c r="H93" s="271">
        <v>1</v>
      </c>
      <c r="I93" s="276">
        <f t="shared" ref="I93:I100" si="19">E93*F93*G93*H93</f>
        <v>360000</v>
      </c>
      <c r="J93" s="276">
        <f>I93/54</f>
        <v>6666.666666666667</v>
      </c>
      <c r="K93" s="322"/>
      <c r="L93" s="322"/>
    </row>
    <row r="94" spans="1:12" x14ac:dyDescent="0.3">
      <c r="A94" s="253"/>
      <c r="B94" s="253" t="s">
        <v>86</v>
      </c>
      <c r="C94" s="253" t="s">
        <v>94</v>
      </c>
      <c r="D94" s="253" t="s">
        <v>110</v>
      </c>
      <c r="E94" s="253">
        <v>36</v>
      </c>
      <c r="F94" s="29">
        <v>20000</v>
      </c>
      <c r="G94" s="253">
        <v>1</v>
      </c>
      <c r="H94" s="271">
        <v>1</v>
      </c>
      <c r="I94" s="276">
        <f t="shared" si="19"/>
        <v>720000</v>
      </c>
      <c r="J94" s="276">
        <f t="shared" ref="J94:J101" si="20">I94/54</f>
        <v>13333.333333333334</v>
      </c>
      <c r="K94" s="322"/>
      <c r="L94" s="322"/>
    </row>
    <row r="95" spans="1:12" x14ac:dyDescent="0.3">
      <c r="A95" s="253"/>
      <c r="B95" s="253" t="s">
        <v>95</v>
      </c>
      <c r="C95" s="253" t="s">
        <v>96</v>
      </c>
      <c r="D95" s="253" t="s">
        <v>110</v>
      </c>
      <c r="E95" s="253">
        <v>36</v>
      </c>
      <c r="F95" s="29">
        <v>10000</v>
      </c>
      <c r="G95" s="253">
        <v>3</v>
      </c>
      <c r="H95" s="271">
        <v>1</v>
      </c>
      <c r="I95" s="276">
        <f t="shared" si="19"/>
        <v>1080000</v>
      </c>
      <c r="J95" s="276">
        <f t="shared" si="20"/>
        <v>20000</v>
      </c>
      <c r="K95" s="322"/>
      <c r="L95" s="322"/>
    </row>
    <row r="96" spans="1:12" x14ac:dyDescent="0.3">
      <c r="A96" s="253"/>
      <c r="B96" s="253" t="s">
        <v>97</v>
      </c>
      <c r="C96" s="253" t="s">
        <v>171</v>
      </c>
      <c r="D96" s="253" t="s">
        <v>172</v>
      </c>
      <c r="E96" s="253">
        <v>36</v>
      </c>
      <c r="F96" s="29">
        <v>2500</v>
      </c>
      <c r="G96" s="253">
        <v>6</v>
      </c>
      <c r="H96" s="271">
        <v>1</v>
      </c>
      <c r="I96" s="276">
        <f t="shared" si="19"/>
        <v>540000</v>
      </c>
      <c r="J96" s="276">
        <f t="shared" si="20"/>
        <v>10000</v>
      </c>
      <c r="K96" s="322"/>
      <c r="L96" s="322"/>
    </row>
    <row r="97" spans="1:26" x14ac:dyDescent="0.3">
      <c r="A97" s="253"/>
      <c r="B97" s="253" t="s">
        <v>99</v>
      </c>
      <c r="C97" s="253" t="s">
        <v>100</v>
      </c>
      <c r="D97" s="253"/>
      <c r="E97" s="253">
        <v>5</v>
      </c>
      <c r="F97" s="29">
        <v>45000</v>
      </c>
      <c r="G97" s="253">
        <v>5</v>
      </c>
      <c r="H97" s="271">
        <v>1</v>
      </c>
      <c r="I97" s="276">
        <f t="shared" si="19"/>
        <v>1125000</v>
      </c>
      <c r="J97" s="276">
        <f t="shared" si="20"/>
        <v>20833.333333333332</v>
      </c>
      <c r="K97" s="322"/>
      <c r="L97" s="322"/>
    </row>
    <row r="98" spans="1:26" x14ac:dyDescent="0.3">
      <c r="A98" s="253"/>
      <c r="B98" s="253" t="s">
        <v>101</v>
      </c>
      <c r="C98" s="253" t="s">
        <v>102</v>
      </c>
      <c r="D98" s="253"/>
      <c r="E98" s="253">
        <v>5</v>
      </c>
      <c r="F98" s="29">
        <v>25000</v>
      </c>
      <c r="G98" s="253">
        <v>5</v>
      </c>
      <c r="H98" s="271">
        <v>1</v>
      </c>
      <c r="I98" s="276">
        <f t="shared" si="19"/>
        <v>625000</v>
      </c>
      <c r="J98" s="276">
        <f t="shared" si="20"/>
        <v>11574.074074074075</v>
      </c>
      <c r="K98" s="322"/>
      <c r="L98" s="322"/>
    </row>
    <row r="99" spans="1:26" x14ac:dyDescent="0.3">
      <c r="A99" s="253"/>
      <c r="B99" s="253" t="s">
        <v>103</v>
      </c>
      <c r="C99" s="253" t="s">
        <v>104</v>
      </c>
      <c r="D99" s="253" t="s">
        <v>105</v>
      </c>
      <c r="E99" s="253">
        <v>1</v>
      </c>
      <c r="F99" s="29">
        <v>25000</v>
      </c>
      <c r="G99" s="253">
        <v>5</v>
      </c>
      <c r="H99" s="271">
        <v>1</v>
      </c>
      <c r="I99" s="276">
        <f t="shared" si="19"/>
        <v>125000</v>
      </c>
      <c r="J99" s="276">
        <f t="shared" si="20"/>
        <v>2314.8148148148148</v>
      </c>
      <c r="K99" s="322"/>
      <c r="L99" s="322"/>
    </row>
    <row r="100" spans="1:26" x14ac:dyDescent="0.3">
      <c r="A100" s="253"/>
      <c r="B100" s="253" t="s">
        <v>106</v>
      </c>
      <c r="C100" s="253" t="s">
        <v>107</v>
      </c>
      <c r="D100" s="253"/>
      <c r="E100" s="253">
        <v>40</v>
      </c>
      <c r="F100" s="29">
        <v>500</v>
      </c>
      <c r="G100" s="253">
        <v>2</v>
      </c>
      <c r="H100" s="271">
        <v>1</v>
      </c>
      <c r="I100" s="276">
        <f t="shared" si="19"/>
        <v>40000</v>
      </c>
      <c r="J100" s="276">
        <f t="shared" si="20"/>
        <v>740.74074074074076</v>
      </c>
      <c r="K100" s="322"/>
      <c r="L100" s="322"/>
    </row>
    <row r="101" spans="1:26" x14ac:dyDescent="0.3">
      <c r="A101" s="253"/>
      <c r="B101" s="253"/>
      <c r="C101" s="253"/>
      <c r="D101" s="333" t="s">
        <v>10</v>
      </c>
      <c r="E101" s="333"/>
      <c r="F101" s="30"/>
      <c r="G101" s="333"/>
      <c r="H101" s="334"/>
      <c r="I101" s="335">
        <f>SUM(I93:I100)</f>
        <v>4615000</v>
      </c>
      <c r="J101" s="335">
        <f t="shared" si="20"/>
        <v>85462.962962962964</v>
      </c>
      <c r="K101" s="322"/>
      <c r="L101" s="322"/>
    </row>
    <row r="102" spans="1:26" x14ac:dyDescent="0.3">
      <c r="A102" s="253"/>
      <c r="B102" s="253"/>
      <c r="C102" s="253"/>
      <c r="D102" s="253"/>
      <c r="E102" s="253"/>
      <c r="F102" s="253"/>
      <c r="G102" s="253"/>
      <c r="H102" s="271"/>
      <c r="I102" s="253"/>
      <c r="J102" s="253"/>
      <c r="K102" s="565" t="s">
        <v>50</v>
      </c>
      <c r="L102" s="565" t="s">
        <v>510</v>
      </c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  <c r="X102" s="438"/>
      <c r="Y102" s="438"/>
      <c r="Z102" s="438"/>
    </row>
    <row r="103" spans="1:26" x14ac:dyDescent="0.3">
      <c r="A103" s="253"/>
      <c r="B103" s="253"/>
      <c r="C103" s="253"/>
      <c r="D103" s="343" t="s">
        <v>19</v>
      </c>
      <c r="E103" s="343"/>
      <c r="F103" s="343"/>
      <c r="G103" s="343"/>
      <c r="H103" s="344"/>
      <c r="I103" s="345">
        <f>I90+I101</f>
        <v>7215000</v>
      </c>
      <c r="J103" s="345">
        <f>J90+J101</f>
        <v>133611.11111111112</v>
      </c>
      <c r="K103" s="566">
        <f>I103/36</f>
        <v>200416.66666666666</v>
      </c>
      <c r="L103" s="567">
        <f>K103/5</f>
        <v>40083.333333333328</v>
      </c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</row>
    <row r="104" spans="1:26" s="300" customFormat="1" x14ac:dyDescent="0.3">
      <c r="A104" s="215"/>
      <c r="B104" s="215"/>
      <c r="C104" s="215"/>
      <c r="D104" s="215"/>
      <c r="E104" s="215"/>
      <c r="F104" s="215"/>
      <c r="G104" s="215"/>
      <c r="H104" s="347"/>
      <c r="I104" s="348"/>
      <c r="J104" s="348"/>
      <c r="K104" s="564"/>
      <c r="L104" s="339"/>
      <c r="M104" s="438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38"/>
      <c r="Y104" s="438"/>
      <c r="Z104" s="438"/>
    </row>
    <row r="105" spans="1:26" x14ac:dyDescent="0.3">
      <c r="A105" s="699" t="s">
        <v>384</v>
      </c>
      <c r="B105" s="700"/>
      <c r="C105" s="700"/>
      <c r="D105" s="700"/>
      <c r="E105" s="700"/>
      <c r="F105" s="700"/>
      <c r="G105" s="700"/>
      <c r="H105" s="700"/>
      <c r="I105" s="700"/>
      <c r="J105" s="700"/>
      <c r="K105" s="339"/>
      <c r="L105" s="339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</row>
    <row r="106" spans="1:26" x14ac:dyDescent="0.3">
      <c r="A106" s="327"/>
      <c r="B106" s="327"/>
      <c r="C106" s="327" t="s">
        <v>4</v>
      </c>
      <c r="D106" s="327" t="s">
        <v>79</v>
      </c>
      <c r="E106" s="327" t="s">
        <v>80</v>
      </c>
      <c r="F106" s="327" t="s">
        <v>50</v>
      </c>
      <c r="G106" s="327" t="s">
        <v>57</v>
      </c>
      <c r="H106" s="328" t="s">
        <v>53</v>
      </c>
      <c r="I106" s="329" t="s">
        <v>65</v>
      </c>
      <c r="J106" s="329" t="s">
        <v>81</v>
      </c>
      <c r="K106" s="339"/>
      <c r="L106" s="339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</row>
    <row r="107" spans="1:26" x14ac:dyDescent="0.3">
      <c r="A107" s="741"/>
      <c r="B107" s="742"/>
      <c r="C107" s="742"/>
      <c r="D107" s="743"/>
      <c r="E107" s="330"/>
      <c r="F107" s="330"/>
      <c r="G107" s="330"/>
      <c r="H107" s="331"/>
      <c r="I107" s="330"/>
      <c r="J107" s="330"/>
      <c r="K107" s="322"/>
      <c r="L107" s="322"/>
    </row>
    <row r="108" spans="1:26" x14ac:dyDescent="0.3">
      <c r="A108" s="253">
        <v>1</v>
      </c>
      <c r="B108" s="253" t="s">
        <v>108</v>
      </c>
      <c r="C108" s="253"/>
      <c r="D108" s="253"/>
      <c r="E108" s="253"/>
      <c r="F108" s="253"/>
      <c r="G108" s="253"/>
      <c r="H108" s="271"/>
      <c r="I108" s="253"/>
      <c r="J108" s="253"/>
      <c r="K108" s="322"/>
      <c r="L108" s="322"/>
    </row>
    <row r="109" spans="1:26" x14ac:dyDescent="0.3">
      <c r="A109" s="253"/>
      <c r="B109" s="253" t="s">
        <v>84</v>
      </c>
      <c r="C109" s="253"/>
      <c r="D109" s="253" t="s">
        <v>85</v>
      </c>
      <c r="E109" s="253">
        <v>2</v>
      </c>
      <c r="F109" s="29">
        <v>30000</v>
      </c>
      <c r="G109" s="253">
        <v>5</v>
      </c>
      <c r="H109" s="271">
        <v>1</v>
      </c>
      <c r="I109" s="276">
        <f>E109*F109*G109*H109</f>
        <v>300000</v>
      </c>
      <c r="J109" s="332">
        <f>I109/54</f>
        <v>5555.5555555555557</v>
      </c>
      <c r="K109" s="322"/>
      <c r="L109" s="322"/>
    </row>
    <row r="110" spans="1:26" x14ac:dyDescent="0.3">
      <c r="A110" s="253"/>
      <c r="B110" s="253" t="s">
        <v>86</v>
      </c>
      <c r="C110" s="253" t="s">
        <v>87</v>
      </c>
      <c r="D110" s="253"/>
      <c r="E110" s="253"/>
      <c r="F110" s="29"/>
      <c r="G110" s="253"/>
      <c r="H110" s="271"/>
      <c r="I110" s="253"/>
      <c r="J110" s="332">
        <f t="shared" ref="J110:J113" si="21">I110/54</f>
        <v>0</v>
      </c>
      <c r="K110" s="322"/>
      <c r="L110" s="322"/>
    </row>
    <row r="111" spans="1:26" x14ac:dyDescent="0.3">
      <c r="A111" s="253"/>
      <c r="B111" s="253"/>
      <c r="C111" s="253" t="s">
        <v>88</v>
      </c>
      <c r="D111" s="253"/>
      <c r="E111" s="263">
        <v>2</v>
      </c>
      <c r="F111" s="29">
        <v>25000</v>
      </c>
      <c r="G111" s="253">
        <v>1</v>
      </c>
      <c r="H111" s="271">
        <v>1</v>
      </c>
      <c r="I111" s="276">
        <f>E111*F111*G111*H111</f>
        <v>50000</v>
      </c>
      <c r="J111" s="332">
        <f t="shared" si="21"/>
        <v>925.92592592592598</v>
      </c>
      <c r="K111" s="322"/>
      <c r="L111" s="322"/>
    </row>
    <row r="112" spans="1:26" x14ac:dyDescent="0.3">
      <c r="A112" s="253"/>
      <c r="B112" s="253"/>
      <c r="C112" s="253" t="s">
        <v>89</v>
      </c>
      <c r="D112" s="253"/>
      <c r="E112" s="263">
        <v>2</v>
      </c>
      <c r="F112" s="29">
        <v>2500</v>
      </c>
      <c r="G112" s="253">
        <v>5</v>
      </c>
      <c r="H112" s="271">
        <v>1</v>
      </c>
      <c r="I112" s="276">
        <f>E112*F112*G112*H112</f>
        <v>25000</v>
      </c>
      <c r="J112" s="332">
        <f t="shared" si="21"/>
        <v>462.96296296296299</v>
      </c>
      <c r="K112" s="322"/>
      <c r="L112" s="322"/>
    </row>
    <row r="113" spans="1:12" x14ac:dyDescent="0.3">
      <c r="A113" s="253"/>
      <c r="B113" s="253"/>
      <c r="C113" s="253" t="s">
        <v>90</v>
      </c>
      <c r="D113" s="253"/>
      <c r="E113" s="263">
        <v>2</v>
      </c>
      <c r="F113" s="29">
        <v>10000</v>
      </c>
      <c r="G113" s="253">
        <v>5</v>
      </c>
      <c r="H113" s="271">
        <v>1</v>
      </c>
      <c r="I113" s="276">
        <f>E113*F113*G113*H113</f>
        <v>100000</v>
      </c>
      <c r="J113" s="332">
        <f t="shared" si="21"/>
        <v>1851.851851851852</v>
      </c>
      <c r="K113" s="322"/>
      <c r="L113" s="322"/>
    </row>
    <row r="114" spans="1:12" x14ac:dyDescent="0.3">
      <c r="A114" s="253"/>
      <c r="B114" s="253"/>
      <c r="C114" s="253"/>
      <c r="D114" s="333" t="s">
        <v>10</v>
      </c>
      <c r="E114" s="333"/>
      <c r="F114" s="30"/>
      <c r="G114" s="333"/>
      <c r="H114" s="334"/>
      <c r="I114" s="335">
        <f>SUM(I109:I113)</f>
        <v>475000</v>
      </c>
      <c r="J114" s="335">
        <f>SUM(J109:J113)</f>
        <v>8796.2962962962956</v>
      </c>
      <c r="K114" s="322"/>
      <c r="L114" s="322"/>
    </row>
    <row r="115" spans="1:12" x14ac:dyDescent="0.3">
      <c r="A115" s="336"/>
      <c r="B115" s="336"/>
      <c r="C115" s="336"/>
      <c r="D115" s="336"/>
      <c r="E115" s="336"/>
      <c r="F115" s="31"/>
      <c r="G115" s="336"/>
      <c r="H115" s="337"/>
      <c r="I115" s="338"/>
      <c r="J115" s="336"/>
      <c r="K115" s="322"/>
      <c r="L115" s="322"/>
    </row>
    <row r="116" spans="1:12" x14ac:dyDescent="0.3">
      <c r="A116" s="747" t="s">
        <v>91</v>
      </c>
      <c r="B116" s="748"/>
      <c r="C116" s="748"/>
      <c r="D116" s="749"/>
      <c r="E116" s="340"/>
      <c r="F116" s="32"/>
      <c r="G116" s="340"/>
      <c r="H116" s="341"/>
      <c r="I116" s="340"/>
      <c r="J116" s="340"/>
      <c r="K116" s="322"/>
      <c r="L116" s="322"/>
    </row>
    <row r="117" spans="1:12" x14ac:dyDescent="0.3">
      <c r="A117" s="253"/>
      <c r="B117" s="253" t="s">
        <v>92</v>
      </c>
      <c r="C117" s="253" t="s">
        <v>93</v>
      </c>
      <c r="D117" s="253"/>
      <c r="E117" s="253">
        <v>40</v>
      </c>
      <c r="F117" s="29">
        <v>1000</v>
      </c>
      <c r="G117" s="253">
        <v>3</v>
      </c>
      <c r="H117" s="271">
        <v>1</v>
      </c>
      <c r="I117" s="276">
        <f t="shared" ref="I117:I124" si="22">E117*F117*G117*H117</f>
        <v>120000</v>
      </c>
      <c r="J117" s="350">
        <f>I117/54</f>
        <v>2222.2222222222222</v>
      </c>
      <c r="K117" s="322"/>
      <c r="L117" s="322"/>
    </row>
    <row r="118" spans="1:12" x14ac:dyDescent="0.3">
      <c r="A118" s="253"/>
      <c r="B118" s="253" t="s">
        <v>86</v>
      </c>
      <c r="C118" s="253" t="s">
        <v>94</v>
      </c>
      <c r="D118" s="253" t="s">
        <v>110</v>
      </c>
      <c r="E118" s="253">
        <v>40</v>
      </c>
      <c r="F118" s="29">
        <v>5000</v>
      </c>
      <c r="G118" s="253">
        <v>1</v>
      </c>
      <c r="H118" s="271">
        <v>1</v>
      </c>
      <c r="I118" s="276">
        <f t="shared" si="22"/>
        <v>200000</v>
      </c>
      <c r="J118" s="350">
        <f t="shared" ref="J118:J125" si="23">I118/54</f>
        <v>3703.7037037037039</v>
      </c>
      <c r="K118" s="322"/>
      <c r="L118" s="322"/>
    </row>
    <row r="119" spans="1:12" x14ac:dyDescent="0.3">
      <c r="A119" s="253"/>
      <c r="B119" s="253" t="s">
        <v>95</v>
      </c>
      <c r="C119" s="253" t="s">
        <v>96</v>
      </c>
      <c r="D119" s="253" t="s">
        <v>110</v>
      </c>
      <c r="E119" s="253">
        <v>40</v>
      </c>
      <c r="F119" s="29">
        <v>10000</v>
      </c>
      <c r="G119" s="253">
        <v>3</v>
      </c>
      <c r="H119" s="271">
        <v>1</v>
      </c>
      <c r="I119" s="276">
        <f t="shared" si="22"/>
        <v>1200000</v>
      </c>
      <c r="J119" s="350">
        <f t="shared" si="23"/>
        <v>22222.222222222223</v>
      </c>
      <c r="K119" s="322"/>
      <c r="L119" s="322"/>
    </row>
    <row r="120" spans="1:12" x14ac:dyDescent="0.3">
      <c r="A120" s="253"/>
      <c r="B120" s="253" t="s">
        <v>97</v>
      </c>
      <c r="C120" s="253" t="s">
        <v>171</v>
      </c>
      <c r="D120" s="253" t="s">
        <v>110</v>
      </c>
      <c r="E120" s="253">
        <v>40</v>
      </c>
      <c r="F120" s="29">
        <v>3500</v>
      </c>
      <c r="G120" s="253">
        <v>3</v>
      </c>
      <c r="H120" s="271">
        <v>1</v>
      </c>
      <c r="I120" s="276">
        <f t="shared" si="22"/>
        <v>420000</v>
      </c>
      <c r="J120" s="350">
        <f t="shared" si="23"/>
        <v>7777.7777777777774</v>
      </c>
      <c r="K120" s="322"/>
      <c r="L120" s="322"/>
    </row>
    <row r="121" spans="1:12" x14ac:dyDescent="0.3">
      <c r="A121" s="253"/>
      <c r="B121" s="253" t="s">
        <v>99</v>
      </c>
      <c r="C121" s="253" t="s">
        <v>100</v>
      </c>
      <c r="D121" s="253" t="s">
        <v>112</v>
      </c>
      <c r="E121" s="253">
        <v>1</v>
      </c>
      <c r="F121" s="29">
        <v>45000</v>
      </c>
      <c r="G121" s="253">
        <v>3</v>
      </c>
      <c r="H121" s="271">
        <v>1</v>
      </c>
      <c r="I121" s="276">
        <f t="shared" si="22"/>
        <v>135000</v>
      </c>
      <c r="J121" s="350">
        <f t="shared" si="23"/>
        <v>2500</v>
      </c>
      <c r="K121" s="322"/>
      <c r="L121" s="322"/>
    </row>
    <row r="122" spans="1:12" x14ac:dyDescent="0.3">
      <c r="A122" s="253"/>
      <c r="B122" s="253" t="s">
        <v>101</v>
      </c>
      <c r="C122" s="253" t="s">
        <v>102</v>
      </c>
      <c r="D122" s="253"/>
      <c r="E122" s="253">
        <v>1</v>
      </c>
      <c r="F122" s="29">
        <v>25000</v>
      </c>
      <c r="G122" s="253">
        <v>3</v>
      </c>
      <c r="H122" s="271">
        <v>1</v>
      </c>
      <c r="I122" s="276">
        <f t="shared" si="22"/>
        <v>75000</v>
      </c>
      <c r="J122" s="350">
        <f t="shared" si="23"/>
        <v>1388.8888888888889</v>
      </c>
      <c r="K122" s="322"/>
      <c r="L122" s="322"/>
    </row>
    <row r="123" spans="1:12" x14ac:dyDescent="0.3">
      <c r="A123" s="253"/>
      <c r="B123" s="253" t="s">
        <v>103</v>
      </c>
      <c r="C123" s="253" t="s">
        <v>104</v>
      </c>
      <c r="D123" s="253" t="s">
        <v>105</v>
      </c>
      <c r="E123" s="253">
        <v>1</v>
      </c>
      <c r="F123" s="29">
        <v>25000</v>
      </c>
      <c r="G123" s="253">
        <v>3</v>
      </c>
      <c r="H123" s="271">
        <v>1</v>
      </c>
      <c r="I123" s="276">
        <f t="shared" si="22"/>
        <v>75000</v>
      </c>
      <c r="J123" s="350">
        <f t="shared" si="23"/>
        <v>1388.8888888888889</v>
      </c>
      <c r="K123" s="322"/>
      <c r="L123" s="322"/>
    </row>
    <row r="124" spans="1:12" x14ac:dyDescent="0.3">
      <c r="A124" s="253"/>
      <c r="B124" s="253" t="s">
        <v>106</v>
      </c>
      <c r="C124" s="253" t="s">
        <v>107</v>
      </c>
      <c r="D124" s="253"/>
      <c r="E124" s="253">
        <v>40</v>
      </c>
      <c r="F124" s="29">
        <v>400</v>
      </c>
      <c r="G124" s="253">
        <v>2</v>
      </c>
      <c r="H124" s="271">
        <v>1</v>
      </c>
      <c r="I124" s="276">
        <f t="shared" si="22"/>
        <v>32000</v>
      </c>
      <c r="J124" s="350">
        <f t="shared" si="23"/>
        <v>592.59259259259261</v>
      </c>
      <c r="K124" s="322"/>
      <c r="L124" s="322"/>
    </row>
    <row r="125" spans="1:12" x14ac:dyDescent="0.3">
      <c r="A125" s="253"/>
      <c r="B125" s="253"/>
      <c r="C125" s="253"/>
      <c r="D125" s="333" t="s">
        <v>10</v>
      </c>
      <c r="E125" s="333"/>
      <c r="F125" s="30"/>
      <c r="G125" s="333"/>
      <c r="H125" s="334"/>
      <c r="I125" s="335">
        <f>SUM(I117:I124)</f>
        <v>2257000</v>
      </c>
      <c r="J125" s="335">
        <f t="shared" si="23"/>
        <v>41796.296296296299</v>
      </c>
      <c r="K125" s="322"/>
      <c r="L125" s="322"/>
    </row>
    <row r="126" spans="1:12" x14ac:dyDescent="0.3">
      <c r="A126" s="253"/>
      <c r="B126" s="253"/>
      <c r="C126" s="253"/>
      <c r="D126" s="253"/>
      <c r="E126" s="253"/>
      <c r="F126" s="253"/>
      <c r="G126" s="253"/>
      <c r="H126" s="271"/>
      <c r="I126" s="253"/>
      <c r="J126" s="253"/>
      <c r="K126" s="568" t="s">
        <v>50</v>
      </c>
      <c r="L126" s="568" t="s">
        <v>510</v>
      </c>
    </row>
    <row r="127" spans="1:12" x14ac:dyDescent="0.3">
      <c r="A127" s="253"/>
      <c r="B127" s="253"/>
      <c r="C127" s="253"/>
      <c r="D127" s="343" t="s">
        <v>19</v>
      </c>
      <c r="E127" s="343"/>
      <c r="F127" s="343"/>
      <c r="G127" s="343"/>
      <c r="H127" s="344"/>
      <c r="I127" s="345">
        <f>I114+I125</f>
        <v>2732000</v>
      </c>
      <c r="J127" s="345">
        <f>J114+J125</f>
        <v>50592.592592592599</v>
      </c>
      <c r="K127" s="551">
        <f>I127/40</f>
        <v>68300</v>
      </c>
      <c r="L127" s="551">
        <f>K127/3</f>
        <v>22766.666666666668</v>
      </c>
    </row>
    <row r="128" spans="1:12" x14ac:dyDescent="0.3">
      <c r="A128" s="254"/>
      <c r="B128" s="254"/>
      <c r="C128" s="254"/>
      <c r="D128" s="533"/>
      <c r="E128" s="533"/>
      <c r="F128" s="533"/>
      <c r="G128" s="533"/>
      <c r="H128" s="569"/>
      <c r="I128" s="570"/>
      <c r="J128" s="570"/>
      <c r="K128" s="346"/>
      <c r="L128" s="322"/>
    </row>
    <row r="130" spans="1:12" x14ac:dyDescent="0.3">
      <c r="A130" s="699" t="s">
        <v>379</v>
      </c>
      <c r="B130" s="700"/>
      <c r="C130" s="700"/>
      <c r="D130" s="700"/>
      <c r="E130" s="700"/>
      <c r="F130" s="700"/>
      <c r="G130" s="700"/>
      <c r="H130" s="700"/>
      <c r="I130" s="700"/>
      <c r="J130" s="700"/>
      <c r="K130" s="322"/>
      <c r="L130" s="322"/>
    </row>
    <row r="131" spans="1:12" x14ac:dyDescent="0.3">
      <c r="A131" s="327"/>
      <c r="B131" s="327"/>
      <c r="C131" s="327" t="s">
        <v>4</v>
      </c>
      <c r="D131" s="327" t="s">
        <v>79</v>
      </c>
      <c r="E131" s="327" t="s">
        <v>80</v>
      </c>
      <c r="F131" s="327" t="s">
        <v>50</v>
      </c>
      <c r="G131" s="327" t="s">
        <v>57</v>
      </c>
      <c r="H131" s="328" t="s">
        <v>53</v>
      </c>
      <c r="I131" s="329" t="s">
        <v>65</v>
      </c>
      <c r="J131" s="329" t="s">
        <v>81</v>
      </c>
      <c r="K131" s="322"/>
      <c r="L131" s="322"/>
    </row>
    <row r="132" spans="1:12" x14ac:dyDescent="0.3">
      <c r="A132" s="741"/>
      <c r="B132" s="742"/>
      <c r="C132" s="742"/>
      <c r="D132" s="743"/>
      <c r="E132" s="330"/>
      <c r="F132" s="330"/>
      <c r="G132" s="330"/>
      <c r="H132" s="331"/>
      <c r="I132" s="330"/>
      <c r="J132" s="330"/>
      <c r="K132" s="322"/>
      <c r="L132" s="322"/>
    </row>
    <row r="133" spans="1:12" x14ac:dyDescent="0.3">
      <c r="A133" s="253">
        <v>1</v>
      </c>
      <c r="B133" s="253" t="s">
        <v>108</v>
      </c>
      <c r="C133" s="253"/>
      <c r="D133" s="253"/>
      <c r="E133" s="253"/>
      <c r="F133" s="253"/>
      <c r="G133" s="253"/>
      <c r="H133" s="271"/>
      <c r="I133" s="253"/>
      <c r="J133" s="253"/>
      <c r="K133" s="322"/>
      <c r="L133" s="322"/>
    </row>
    <row r="134" spans="1:12" x14ac:dyDescent="0.3">
      <c r="A134" s="253"/>
      <c r="B134" s="253" t="s">
        <v>84</v>
      </c>
      <c r="C134" s="253"/>
      <c r="D134" s="253" t="s">
        <v>85</v>
      </c>
      <c r="E134" s="253">
        <v>2</v>
      </c>
      <c r="F134" s="29">
        <v>10000</v>
      </c>
      <c r="G134" s="253">
        <v>4</v>
      </c>
      <c r="H134" s="271">
        <v>1</v>
      </c>
      <c r="I134" s="276">
        <f>E134*F134*G134*H134</f>
        <v>80000</v>
      </c>
      <c r="J134" s="332">
        <f>I134/54</f>
        <v>1481.4814814814815</v>
      </c>
      <c r="K134" s="322"/>
      <c r="L134" s="322"/>
    </row>
    <row r="135" spans="1:12" x14ac:dyDescent="0.3">
      <c r="A135" s="253"/>
      <c r="B135" s="253" t="s">
        <v>86</v>
      </c>
      <c r="C135" s="253" t="s">
        <v>87</v>
      </c>
      <c r="D135" s="253"/>
      <c r="E135" s="253"/>
      <c r="F135" s="29"/>
      <c r="G135" s="253"/>
      <c r="H135" s="271"/>
      <c r="I135" s="253"/>
      <c r="J135" s="332"/>
      <c r="K135" s="322"/>
      <c r="L135" s="322"/>
    </row>
    <row r="136" spans="1:12" x14ac:dyDescent="0.3">
      <c r="A136" s="253"/>
      <c r="B136" s="253"/>
      <c r="C136" s="253" t="s">
        <v>88</v>
      </c>
      <c r="D136" s="253"/>
      <c r="E136" s="263">
        <v>2</v>
      </c>
      <c r="F136" s="29">
        <v>10000</v>
      </c>
      <c r="G136" s="253">
        <v>1</v>
      </c>
      <c r="H136" s="271">
        <v>1</v>
      </c>
      <c r="I136" s="276">
        <f>E136*F136*G136*H136</f>
        <v>20000</v>
      </c>
      <c r="J136" s="332">
        <f>I136/54</f>
        <v>370.37037037037038</v>
      </c>
      <c r="K136" s="322"/>
      <c r="L136" s="322"/>
    </row>
    <row r="137" spans="1:12" x14ac:dyDescent="0.3">
      <c r="A137" s="253"/>
      <c r="B137" s="253"/>
      <c r="C137" s="253" t="s">
        <v>89</v>
      </c>
      <c r="D137" s="253"/>
      <c r="E137" s="263">
        <v>2</v>
      </c>
      <c r="F137" s="29">
        <v>2500</v>
      </c>
      <c r="G137" s="253">
        <v>4</v>
      </c>
      <c r="H137" s="271">
        <v>1</v>
      </c>
      <c r="I137" s="276">
        <f>E137*F137*G137*H137</f>
        <v>20000</v>
      </c>
      <c r="J137" s="332">
        <f t="shared" ref="J137:J139" si="24">I137/54</f>
        <v>370.37037037037038</v>
      </c>
      <c r="K137" s="322"/>
      <c r="L137" s="322"/>
    </row>
    <row r="138" spans="1:12" x14ac:dyDescent="0.3">
      <c r="A138" s="253"/>
      <c r="B138" s="253"/>
      <c r="C138" s="253" t="s">
        <v>90</v>
      </c>
      <c r="D138" s="253"/>
      <c r="E138" s="263">
        <v>2</v>
      </c>
      <c r="F138" s="29">
        <v>6500</v>
      </c>
      <c r="G138" s="253">
        <v>4</v>
      </c>
      <c r="H138" s="271">
        <v>1</v>
      </c>
      <c r="I138" s="276">
        <f>E138*F138*G138*H138</f>
        <v>52000</v>
      </c>
      <c r="J138" s="332">
        <f t="shared" si="24"/>
        <v>962.96296296296293</v>
      </c>
      <c r="K138" s="322"/>
      <c r="L138" s="322"/>
    </row>
    <row r="139" spans="1:12" x14ac:dyDescent="0.3">
      <c r="A139" s="253"/>
      <c r="B139" s="253"/>
      <c r="C139" s="253"/>
      <c r="D139" s="333" t="s">
        <v>10</v>
      </c>
      <c r="E139" s="333"/>
      <c r="F139" s="30"/>
      <c r="G139" s="333"/>
      <c r="H139" s="334"/>
      <c r="I139" s="335">
        <f>SUM(I134:I138)</f>
        <v>172000</v>
      </c>
      <c r="J139" s="335">
        <f t="shared" si="24"/>
        <v>3185.1851851851852</v>
      </c>
      <c r="K139" s="322"/>
      <c r="L139" s="322"/>
    </row>
    <row r="140" spans="1:12" x14ac:dyDescent="0.3">
      <c r="A140" s="336"/>
      <c r="B140" s="336"/>
      <c r="C140" s="336"/>
      <c r="D140" s="336"/>
      <c r="E140" s="336"/>
      <c r="F140" s="31"/>
      <c r="G140" s="336"/>
      <c r="H140" s="337"/>
      <c r="I140" s="338"/>
      <c r="J140" s="336"/>
      <c r="K140" s="322"/>
      <c r="L140" s="322"/>
    </row>
    <row r="141" spans="1:12" x14ac:dyDescent="0.3">
      <c r="A141" s="747" t="s">
        <v>91</v>
      </c>
      <c r="B141" s="748"/>
      <c r="C141" s="748"/>
      <c r="D141" s="749"/>
      <c r="E141" s="340"/>
      <c r="F141" s="32"/>
      <c r="G141" s="340"/>
      <c r="H141" s="341"/>
      <c r="I141" s="340"/>
      <c r="J141" s="340"/>
      <c r="K141" s="322"/>
      <c r="L141" s="322"/>
    </row>
    <row r="142" spans="1:12" x14ac:dyDescent="0.3">
      <c r="A142" s="253"/>
      <c r="B142" s="253" t="s">
        <v>92</v>
      </c>
      <c r="C142" s="253" t="s">
        <v>93</v>
      </c>
      <c r="D142" s="253"/>
      <c r="E142" s="253">
        <v>40</v>
      </c>
      <c r="F142" s="29">
        <v>500</v>
      </c>
      <c r="G142" s="253">
        <v>2</v>
      </c>
      <c r="H142" s="271">
        <v>1</v>
      </c>
      <c r="I142" s="276">
        <f t="shared" ref="I142:I149" si="25">E142*F142*G142*H142</f>
        <v>40000</v>
      </c>
      <c r="J142" s="276">
        <f>I142/54</f>
        <v>740.74074074074076</v>
      </c>
      <c r="K142" s="322"/>
      <c r="L142" s="322"/>
    </row>
    <row r="143" spans="1:12" x14ac:dyDescent="0.3">
      <c r="A143" s="253"/>
      <c r="B143" s="253" t="s">
        <v>86</v>
      </c>
      <c r="C143" s="253" t="s">
        <v>94</v>
      </c>
      <c r="D143" s="253" t="s">
        <v>110</v>
      </c>
      <c r="E143" s="253">
        <v>40</v>
      </c>
      <c r="F143" s="29">
        <v>2000</v>
      </c>
      <c r="G143" s="253">
        <v>1</v>
      </c>
      <c r="H143" s="271">
        <v>1</v>
      </c>
      <c r="I143" s="276">
        <f t="shared" si="25"/>
        <v>80000</v>
      </c>
      <c r="J143" s="276">
        <f t="shared" ref="J143:J150" si="26">I143/54</f>
        <v>1481.4814814814815</v>
      </c>
      <c r="K143" s="322"/>
      <c r="L143" s="322"/>
    </row>
    <row r="144" spans="1:12" x14ac:dyDescent="0.3">
      <c r="A144" s="253"/>
      <c r="B144" s="253" t="s">
        <v>95</v>
      </c>
      <c r="C144" s="253" t="s">
        <v>96</v>
      </c>
      <c r="D144" s="253" t="s">
        <v>110</v>
      </c>
      <c r="E144" s="253">
        <v>40</v>
      </c>
      <c r="F144" s="29">
        <v>4000</v>
      </c>
      <c r="G144" s="253">
        <v>3</v>
      </c>
      <c r="H144" s="271">
        <v>1</v>
      </c>
      <c r="I144" s="276">
        <f t="shared" si="25"/>
        <v>480000</v>
      </c>
      <c r="J144" s="276">
        <f t="shared" si="26"/>
        <v>8888.8888888888887</v>
      </c>
      <c r="K144" s="322"/>
      <c r="L144" s="322"/>
    </row>
    <row r="145" spans="1:12" x14ac:dyDescent="0.3">
      <c r="A145" s="253"/>
      <c r="B145" s="253" t="s">
        <v>97</v>
      </c>
      <c r="C145" s="253" t="s">
        <v>171</v>
      </c>
      <c r="D145" s="253" t="s">
        <v>172</v>
      </c>
      <c r="E145" s="253">
        <v>40</v>
      </c>
      <c r="F145" s="29">
        <v>2425</v>
      </c>
      <c r="G145" s="253">
        <v>3</v>
      </c>
      <c r="H145" s="271">
        <v>1</v>
      </c>
      <c r="I145" s="276">
        <f t="shared" si="25"/>
        <v>291000</v>
      </c>
      <c r="J145" s="276">
        <f t="shared" si="26"/>
        <v>5388.8888888888887</v>
      </c>
      <c r="K145" s="322"/>
      <c r="L145" s="322"/>
    </row>
    <row r="146" spans="1:12" x14ac:dyDescent="0.3">
      <c r="A146" s="253"/>
      <c r="B146" s="253" t="s">
        <v>99</v>
      </c>
      <c r="C146" s="253" t="s">
        <v>100</v>
      </c>
      <c r="D146" s="253"/>
      <c r="E146" s="253">
        <v>0</v>
      </c>
      <c r="F146" s="29">
        <v>45000</v>
      </c>
      <c r="G146" s="253">
        <v>0</v>
      </c>
      <c r="H146" s="271">
        <v>1</v>
      </c>
      <c r="I146" s="276">
        <f t="shared" si="25"/>
        <v>0</v>
      </c>
      <c r="J146" s="276">
        <f t="shared" si="26"/>
        <v>0</v>
      </c>
      <c r="K146" s="322"/>
      <c r="L146" s="322"/>
    </row>
    <row r="147" spans="1:12" x14ac:dyDescent="0.3">
      <c r="A147" s="253"/>
      <c r="B147" s="253" t="s">
        <v>101</v>
      </c>
      <c r="C147" s="253" t="s">
        <v>102</v>
      </c>
      <c r="D147" s="253" t="s">
        <v>175</v>
      </c>
      <c r="E147" s="253">
        <v>1</v>
      </c>
      <c r="F147" s="29">
        <v>10000</v>
      </c>
      <c r="G147" s="253">
        <v>2</v>
      </c>
      <c r="H147" s="271">
        <v>1</v>
      </c>
      <c r="I147" s="276">
        <f t="shared" si="25"/>
        <v>20000</v>
      </c>
      <c r="J147" s="276">
        <f t="shared" si="26"/>
        <v>370.37037037037038</v>
      </c>
      <c r="K147" s="322"/>
      <c r="L147" s="322"/>
    </row>
    <row r="148" spans="1:12" x14ac:dyDescent="0.3">
      <c r="A148" s="253"/>
      <c r="B148" s="253" t="s">
        <v>103</v>
      </c>
      <c r="C148" s="253" t="s">
        <v>104</v>
      </c>
      <c r="D148" s="253" t="s">
        <v>105</v>
      </c>
      <c r="E148" s="253">
        <v>1</v>
      </c>
      <c r="F148" s="29">
        <v>5000</v>
      </c>
      <c r="G148" s="253">
        <v>2</v>
      </c>
      <c r="H148" s="271">
        <v>1</v>
      </c>
      <c r="I148" s="276">
        <f t="shared" si="25"/>
        <v>10000</v>
      </c>
      <c r="J148" s="276">
        <f t="shared" si="26"/>
        <v>185.18518518518519</v>
      </c>
      <c r="K148" s="322"/>
      <c r="L148" s="322"/>
    </row>
    <row r="149" spans="1:12" x14ac:dyDescent="0.3">
      <c r="A149" s="253"/>
      <c r="B149" s="253" t="s">
        <v>106</v>
      </c>
      <c r="C149" s="253" t="s">
        <v>107</v>
      </c>
      <c r="D149" s="253"/>
      <c r="E149" s="253">
        <v>40</v>
      </c>
      <c r="F149" s="29">
        <v>400</v>
      </c>
      <c r="G149" s="253">
        <v>2</v>
      </c>
      <c r="H149" s="271">
        <v>1</v>
      </c>
      <c r="I149" s="276">
        <f t="shared" si="25"/>
        <v>32000</v>
      </c>
      <c r="J149" s="276">
        <f t="shared" si="26"/>
        <v>592.59259259259261</v>
      </c>
      <c r="K149" s="322"/>
      <c r="L149" s="322"/>
    </row>
    <row r="150" spans="1:12" x14ac:dyDescent="0.3">
      <c r="A150" s="253"/>
      <c r="B150" s="253"/>
      <c r="C150" s="253"/>
      <c r="D150" s="333" t="s">
        <v>10</v>
      </c>
      <c r="E150" s="333"/>
      <c r="F150" s="30"/>
      <c r="G150" s="333"/>
      <c r="H150" s="334"/>
      <c r="I150" s="335">
        <f>SUM(I142:I149)</f>
        <v>953000</v>
      </c>
      <c r="J150" s="335">
        <f t="shared" si="26"/>
        <v>17648.14814814815</v>
      </c>
      <c r="K150" s="322"/>
      <c r="L150" s="322"/>
    </row>
    <row r="151" spans="1:12" x14ac:dyDescent="0.3">
      <c r="A151" s="253"/>
      <c r="B151" s="253"/>
      <c r="C151" s="253"/>
      <c r="D151" s="253"/>
      <c r="E151" s="253"/>
      <c r="F151" s="253"/>
      <c r="G151" s="253"/>
      <c r="H151" s="271"/>
      <c r="I151" s="253"/>
      <c r="J151" s="253"/>
      <c r="K151" s="568" t="s">
        <v>50</v>
      </c>
      <c r="L151" s="568" t="s">
        <v>510</v>
      </c>
    </row>
    <row r="152" spans="1:12" x14ac:dyDescent="0.3">
      <c r="A152" s="253"/>
      <c r="B152" s="253"/>
      <c r="C152" s="253"/>
      <c r="D152" s="343" t="s">
        <v>19</v>
      </c>
      <c r="E152" s="343"/>
      <c r="F152" s="343"/>
      <c r="G152" s="343"/>
      <c r="H152" s="344"/>
      <c r="I152" s="345">
        <f>I139+I150</f>
        <v>1125000</v>
      </c>
      <c r="J152" s="345">
        <f>J139+J150</f>
        <v>20833.333333333336</v>
      </c>
      <c r="K152" s="551">
        <f>I152/40</f>
        <v>28125</v>
      </c>
      <c r="L152" s="551">
        <f>K152/2</f>
        <v>14062.5</v>
      </c>
    </row>
  </sheetData>
  <mergeCells count="39">
    <mergeCell ref="A141:D141"/>
    <mergeCell ref="A92:D92"/>
    <mergeCell ref="A105:J105"/>
    <mergeCell ref="A107:D107"/>
    <mergeCell ref="A116:D116"/>
    <mergeCell ref="A130:J130"/>
    <mergeCell ref="A132:D132"/>
    <mergeCell ref="A83:D83"/>
    <mergeCell ref="B27:I27"/>
    <mergeCell ref="K27:N27"/>
    <mergeCell ref="P27:S27"/>
    <mergeCell ref="U27:X27"/>
    <mergeCell ref="B37:I37"/>
    <mergeCell ref="K49:N49"/>
    <mergeCell ref="P49:S49"/>
    <mergeCell ref="U49:X49"/>
    <mergeCell ref="B55:J55"/>
    <mergeCell ref="A57:J57"/>
    <mergeCell ref="A59:D59"/>
    <mergeCell ref="A68:D68"/>
    <mergeCell ref="A81:J81"/>
    <mergeCell ref="C24:I24"/>
    <mergeCell ref="C12:I12"/>
    <mergeCell ref="C13:I13"/>
    <mergeCell ref="C14:I14"/>
    <mergeCell ref="C15:I15"/>
    <mergeCell ref="C16:I16"/>
    <mergeCell ref="C18:I18"/>
    <mergeCell ref="C19:I19"/>
    <mergeCell ref="C20:I20"/>
    <mergeCell ref="C21:I21"/>
    <mergeCell ref="C22:I22"/>
    <mergeCell ref="C23:I23"/>
    <mergeCell ref="C11:I11"/>
    <mergeCell ref="B7:I7"/>
    <mergeCell ref="K8:N8"/>
    <mergeCell ref="P8:S8"/>
    <mergeCell ref="U8:X8"/>
    <mergeCell ref="C10:I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Z46"/>
  <sheetViews>
    <sheetView zoomScale="70" zoomScaleNormal="70" zoomScalePageLayoutView="70" workbookViewId="0">
      <selection activeCell="B49" sqref="B49:J49"/>
    </sheetView>
  </sheetViews>
  <sheetFormatPr defaultColWidth="8.88671875" defaultRowHeight="14.4" x14ac:dyDescent="0.3"/>
  <cols>
    <col min="1" max="1" width="4.6640625" style="216" customWidth="1"/>
    <col min="2" max="2" width="8.88671875" style="216"/>
    <col min="3" max="3" width="37.44140625" style="216" customWidth="1"/>
    <col min="4" max="4" width="13.44140625" style="216" bestFit="1" customWidth="1"/>
    <col min="5" max="5" width="15.6640625" style="216" bestFit="1" customWidth="1"/>
    <col min="6" max="6" width="12.44140625" style="216" bestFit="1" customWidth="1"/>
    <col min="7" max="7" width="13.44140625" style="216" bestFit="1" customWidth="1"/>
    <col min="8" max="8" width="10.44140625" style="216" bestFit="1" customWidth="1"/>
    <col min="9" max="9" width="12.44140625" style="216" bestFit="1" customWidth="1"/>
    <col min="10" max="10" width="4" style="216" customWidth="1"/>
    <col min="11" max="13" width="10" style="216" bestFit="1" customWidth="1"/>
    <col min="14" max="15" width="12.44140625" style="216" bestFit="1" customWidth="1"/>
    <col min="16" max="19" width="0" style="216" hidden="1" customWidth="1"/>
    <col min="20" max="20" width="12" style="216" bestFit="1" customWidth="1"/>
    <col min="21" max="24" width="0" style="216" hidden="1" customWidth="1"/>
    <col min="25" max="25" width="12" style="216" bestFit="1" customWidth="1"/>
    <col min="26" max="26" width="16.88671875" style="225" bestFit="1" customWidth="1"/>
    <col min="27" max="16384" width="8.88671875" style="216"/>
  </cols>
  <sheetData>
    <row r="2" spans="2:26" x14ac:dyDescent="0.3">
      <c r="B2" s="223">
        <v>3.5</v>
      </c>
      <c r="C2" s="244" t="s">
        <v>16</v>
      </c>
      <c r="D2" s="226" t="s">
        <v>26</v>
      </c>
      <c r="E2" s="226" t="s">
        <v>27</v>
      </c>
      <c r="F2" s="226" t="s">
        <v>28</v>
      </c>
      <c r="G2" s="226" t="s">
        <v>9</v>
      </c>
    </row>
    <row r="3" spans="2:26" ht="46.5" customHeight="1" x14ac:dyDescent="0.3">
      <c r="B3" s="227" t="s">
        <v>385</v>
      </c>
      <c r="C3" s="245" t="s">
        <v>309</v>
      </c>
      <c r="D3" s="246">
        <f>O30</f>
        <v>112962.96296296296</v>
      </c>
      <c r="E3" s="246">
        <f>T30</f>
        <v>118518.51851851851</v>
      </c>
      <c r="F3" s="246">
        <f>Y30</f>
        <v>114814.81481481482</v>
      </c>
      <c r="G3" s="246">
        <f>D3+E3+F3</f>
        <v>346296.29629629629</v>
      </c>
    </row>
    <row r="4" spans="2:26" ht="39" customHeight="1" x14ac:dyDescent="0.3">
      <c r="B4" s="227" t="s">
        <v>386</v>
      </c>
      <c r="C4" s="523" t="s">
        <v>509</v>
      </c>
      <c r="D4" s="246">
        <f>O37</f>
        <v>20000</v>
      </c>
      <c r="E4" s="246">
        <f>T37</f>
        <v>20000</v>
      </c>
      <c r="F4" s="246">
        <f>Y37</f>
        <v>20000</v>
      </c>
      <c r="G4" s="246">
        <f t="shared" ref="G4" si="0">D4+E4+F4</f>
        <v>60000</v>
      </c>
    </row>
    <row r="5" spans="2:26" x14ac:dyDescent="0.3">
      <c r="B5" s="227"/>
      <c r="C5" s="247" t="s">
        <v>10</v>
      </c>
      <c r="D5" s="248">
        <f>D3+D4</f>
        <v>132962.96296296298</v>
      </c>
      <c r="E5" s="248">
        <f t="shared" ref="E5:G5" si="1">E3+E4</f>
        <v>138518.51851851851</v>
      </c>
      <c r="F5" s="248">
        <f t="shared" si="1"/>
        <v>134814.81481481483</v>
      </c>
      <c r="G5" s="248">
        <f t="shared" si="1"/>
        <v>406296.29629629629</v>
      </c>
    </row>
    <row r="7" spans="2:26" x14ac:dyDescent="0.3">
      <c r="B7" s="685" t="s">
        <v>34</v>
      </c>
      <c r="C7" s="686"/>
      <c r="D7" s="686"/>
      <c r="E7" s="686"/>
      <c r="F7" s="686"/>
      <c r="G7" s="686"/>
      <c r="H7" s="686"/>
      <c r="I7" s="686"/>
    </row>
    <row r="8" spans="2:26" x14ac:dyDescent="0.3">
      <c r="B8" s="253"/>
      <c r="C8" s="253"/>
      <c r="D8" s="253"/>
      <c r="E8" s="253"/>
      <c r="F8" s="253"/>
      <c r="G8" s="253"/>
      <c r="H8" s="253"/>
      <c r="I8" s="253"/>
      <c r="J8" s="254"/>
      <c r="K8" s="718" t="s">
        <v>26</v>
      </c>
      <c r="L8" s="718"/>
      <c r="M8" s="718"/>
      <c r="N8" s="718"/>
      <c r="O8" s="303" t="s">
        <v>26</v>
      </c>
      <c r="P8" s="726" t="s">
        <v>27</v>
      </c>
      <c r="Q8" s="727"/>
      <c r="R8" s="727"/>
      <c r="S8" s="728"/>
      <c r="T8" s="302" t="s">
        <v>27</v>
      </c>
      <c r="U8" s="729" t="s">
        <v>28</v>
      </c>
      <c r="V8" s="730"/>
      <c r="W8" s="730"/>
      <c r="X8" s="731"/>
      <c r="Y8" s="303" t="s">
        <v>28</v>
      </c>
      <c r="Z8" s="282"/>
    </row>
    <row r="9" spans="2:26" x14ac:dyDescent="0.3">
      <c r="B9" s="253"/>
      <c r="C9" s="253" t="s">
        <v>35</v>
      </c>
      <c r="D9" s="253"/>
      <c r="E9" s="253"/>
      <c r="F9" s="253"/>
      <c r="G9" s="253"/>
      <c r="H9" s="253"/>
      <c r="I9" s="253"/>
      <c r="J9" s="254"/>
      <c r="K9" s="304" t="s">
        <v>36</v>
      </c>
      <c r="L9" s="304" t="s">
        <v>37</v>
      </c>
      <c r="M9" s="304" t="s">
        <v>38</v>
      </c>
      <c r="N9" s="304" t="s">
        <v>39</v>
      </c>
      <c r="O9" s="303" t="s">
        <v>9</v>
      </c>
      <c r="P9" s="319" t="s">
        <v>36</v>
      </c>
      <c r="Q9" s="319" t="s">
        <v>37</v>
      </c>
      <c r="R9" s="319" t="s">
        <v>38</v>
      </c>
      <c r="S9" s="319" t="s">
        <v>39</v>
      </c>
      <c r="T9" s="303" t="s">
        <v>9</v>
      </c>
      <c r="U9" s="320" t="s">
        <v>36</v>
      </c>
      <c r="V9" s="320" t="s">
        <v>37</v>
      </c>
      <c r="W9" s="320" t="s">
        <v>38</v>
      </c>
      <c r="X9" s="320" t="s">
        <v>39</v>
      </c>
      <c r="Y9" s="303" t="s">
        <v>9</v>
      </c>
      <c r="Z9" s="282" t="s">
        <v>19</v>
      </c>
    </row>
    <row r="10" spans="2:26" ht="21.75" customHeight="1" x14ac:dyDescent="0.3">
      <c r="B10" s="253" t="s">
        <v>385</v>
      </c>
      <c r="C10" s="732" t="str">
        <f>C3</f>
        <v>Periodically conduct qualitative and quantitative assessment on ongoing IEC/BCC interventions</v>
      </c>
      <c r="D10" s="733"/>
      <c r="E10" s="733"/>
      <c r="F10" s="733"/>
      <c r="G10" s="733"/>
      <c r="H10" s="733"/>
      <c r="I10" s="734"/>
      <c r="J10" s="254"/>
      <c r="K10" s="304"/>
      <c r="L10" s="304"/>
      <c r="M10" s="304"/>
      <c r="N10" s="304"/>
      <c r="O10" s="303"/>
      <c r="P10" s="319"/>
      <c r="Q10" s="319"/>
      <c r="R10" s="319"/>
      <c r="S10" s="319"/>
      <c r="T10" s="303"/>
      <c r="U10" s="320"/>
      <c r="V10" s="320"/>
      <c r="W10" s="320"/>
      <c r="X10" s="320"/>
      <c r="Y10" s="303"/>
      <c r="Z10" s="282"/>
    </row>
    <row r="11" spans="2:26" x14ac:dyDescent="0.3">
      <c r="B11" s="253">
        <v>1</v>
      </c>
      <c r="C11" s="682" t="s">
        <v>321</v>
      </c>
      <c r="D11" s="683"/>
      <c r="E11" s="683"/>
      <c r="F11" s="683"/>
      <c r="G11" s="683"/>
      <c r="H11" s="683"/>
      <c r="I11" s="684"/>
      <c r="J11" s="254"/>
      <c r="K11" s="304">
        <v>1</v>
      </c>
      <c r="L11" s="304"/>
      <c r="M11" s="304"/>
      <c r="N11" s="304"/>
      <c r="O11" s="303">
        <v>1</v>
      </c>
      <c r="P11" s="319"/>
      <c r="Q11" s="319"/>
      <c r="R11" s="319"/>
      <c r="S11" s="319"/>
      <c r="T11" s="303"/>
      <c r="U11" s="320"/>
      <c r="V11" s="320"/>
      <c r="W11" s="320"/>
      <c r="X11" s="320"/>
      <c r="Y11" s="303"/>
      <c r="Z11" s="282">
        <f>O11+T11+Y11</f>
        <v>1</v>
      </c>
    </row>
    <row r="12" spans="2:26" x14ac:dyDescent="0.3">
      <c r="B12" s="253">
        <v>2</v>
      </c>
      <c r="C12" s="682" t="s">
        <v>371</v>
      </c>
      <c r="D12" s="683"/>
      <c r="E12" s="683"/>
      <c r="F12" s="683"/>
      <c r="G12" s="683"/>
      <c r="H12" s="683"/>
      <c r="I12" s="684"/>
      <c r="J12" s="254"/>
      <c r="K12" s="304"/>
      <c r="L12" s="304"/>
      <c r="M12" s="304">
        <v>1</v>
      </c>
      <c r="N12" s="304"/>
      <c r="O12" s="303">
        <v>1</v>
      </c>
      <c r="P12" s="319"/>
      <c r="Q12" s="319"/>
      <c r="R12" s="319"/>
      <c r="S12" s="319"/>
      <c r="T12" s="303"/>
      <c r="U12" s="320"/>
      <c r="V12" s="320"/>
      <c r="W12" s="320"/>
      <c r="X12" s="320"/>
      <c r="Y12" s="303"/>
      <c r="Z12" s="282">
        <f t="shared" ref="Z12:Z14" si="2">O12+T12+Y12</f>
        <v>1</v>
      </c>
    </row>
    <row r="13" spans="2:26" x14ac:dyDescent="0.3">
      <c r="B13" s="253">
        <v>3</v>
      </c>
      <c r="C13" s="682" t="s">
        <v>387</v>
      </c>
      <c r="D13" s="683"/>
      <c r="E13" s="683"/>
      <c r="F13" s="683"/>
      <c r="G13" s="683"/>
      <c r="H13" s="683"/>
      <c r="I13" s="684"/>
      <c r="J13" s="254"/>
      <c r="K13" s="304"/>
      <c r="L13" s="304"/>
      <c r="M13" s="304"/>
      <c r="N13" s="304">
        <v>12</v>
      </c>
      <c r="O13" s="303">
        <v>12</v>
      </c>
      <c r="P13" s="319"/>
      <c r="Q13" s="319"/>
      <c r="R13" s="319">
        <v>12</v>
      </c>
      <c r="S13" s="319"/>
      <c r="T13" s="303"/>
      <c r="U13" s="320"/>
      <c r="V13" s="320"/>
      <c r="W13" s="320">
        <v>12</v>
      </c>
      <c r="X13" s="320"/>
      <c r="Y13" s="303"/>
      <c r="Z13" s="282">
        <f t="shared" si="2"/>
        <v>12</v>
      </c>
    </row>
    <row r="14" spans="2:26" x14ac:dyDescent="0.3">
      <c r="B14" s="253">
        <v>4</v>
      </c>
      <c r="C14" s="682" t="s">
        <v>343</v>
      </c>
      <c r="D14" s="683"/>
      <c r="E14" s="683"/>
      <c r="F14" s="683"/>
      <c r="G14" s="683"/>
      <c r="H14" s="683"/>
      <c r="I14" s="684"/>
      <c r="J14" s="254"/>
      <c r="K14" s="304"/>
      <c r="L14" s="304"/>
      <c r="M14" s="304"/>
      <c r="N14" s="304"/>
      <c r="O14" s="303"/>
      <c r="P14" s="319">
        <v>1</v>
      </c>
      <c r="Q14" s="319"/>
      <c r="R14" s="319"/>
      <c r="S14" s="319">
        <v>1</v>
      </c>
      <c r="T14" s="303"/>
      <c r="U14" s="320"/>
      <c r="V14" s="320"/>
      <c r="W14" s="320"/>
      <c r="X14" s="320">
        <v>1</v>
      </c>
      <c r="Y14" s="303"/>
      <c r="Z14" s="282">
        <f t="shared" si="2"/>
        <v>0</v>
      </c>
    </row>
    <row r="15" spans="2:26" s="300" customFormat="1" x14ac:dyDescent="0.3">
      <c r="B15" s="263"/>
      <c r="C15" s="263"/>
      <c r="D15" s="263"/>
      <c r="E15" s="263"/>
      <c r="F15" s="263"/>
      <c r="G15" s="263"/>
      <c r="H15" s="263"/>
      <c r="I15" s="263"/>
      <c r="J15" s="215"/>
      <c r="K15" s="313"/>
      <c r="L15" s="313"/>
      <c r="M15" s="313"/>
      <c r="N15" s="313"/>
      <c r="O15" s="314"/>
      <c r="P15" s="313"/>
      <c r="Q15" s="313"/>
      <c r="R15" s="313"/>
      <c r="S15" s="313"/>
      <c r="T15" s="314"/>
      <c r="U15" s="313"/>
      <c r="V15" s="313"/>
      <c r="W15" s="313"/>
      <c r="X15" s="313"/>
      <c r="Y15" s="314"/>
      <c r="Z15" s="312"/>
    </row>
    <row r="16" spans="2:26" x14ac:dyDescent="0.3">
      <c r="B16" s="253" t="s">
        <v>386</v>
      </c>
      <c r="C16" s="738" t="str">
        <f>C4</f>
        <v>Analyse media reporting at the end of 2014, 2015 &amp; 2016</v>
      </c>
      <c r="D16" s="739"/>
      <c r="E16" s="739"/>
      <c r="F16" s="739"/>
      <c r="G16" s="739"/>
      <c r="H16" s="739"/>
      <c r="I16" s="740"/>
      <c r="J16" s="254"/>
      <c r="K16" s="304"/>
      <c r="L16" s="304"/>
      <c r="M16" s="304"/>
      <c r="N16" s="304"/>
      <c r="O16" s="303"/>
      <c r="P16" s="319"/>
      <c r="Q16" s="319"/>
      <c r="R16" s="319"/>
      <c r="S16" s="319"/>
      <c r="T16" s="303"/>
      <c r="U16" s="320"/>
      <c r="V16" s="320"/>
      <c r="W16" s="320"/>
      <c r="X16" s="320"/>
      <c r="Y16" s="303"/>
      <c r="Z16" s="282"/>
    </row>
    <row r="17" spans="2:26" x14ac:dyDescent="0.3">
      <c r="B17" s="253">
        <v>1</v>
      </c>
      <c r="C17" s="682" t="s">
        <v>388</v>
      </c>
      <c r="D17" s="683"/>
      <c r="E17" s="683"/>
      <c r="F17" s="683"/>
      <c r="G17" s="683"/>
      <c r="H17" s="683"/>
      <c r="I17" s="684"/>
      <c r="J17" s="254"/>
      <c r="K17" s="304">
        <v>12</v>
      </c>
      <c r="L17" s="304">
        <v>12</v>
      </c>
      <c r="M17" s="304">
        <v>12</v>
      </c>
      <c r="N17" s="304">
        <v>12</v>
      </c>
      <c r="O17" s="303">
        <v>12</v>
      </c>
      <c r="P17" s="319">
        <v>12</v>
      </c>
      <c r="Q17" s="319">
        <v>12</v>
      </c>
      <c r="R17" s="319">
        <v>12</v>
      </c>
      <c r="S17" s="319">
        <v>12</v>
      </c>
      <c r="T17" s="303"/>
      <c r="U17" s="320">
        <v>12</v>
      </c>
      <c r="V17" s="320">
        <v>12</v>
      </c>
      <c r="W17" s="320">
        <v>12</v>
      </c>
      <c r="X17" s="320">
        <v>12</v>
      </c>
      <c r="Y17" s="303"/>
      <c r="Z17" s="282">
        <f t="shared" ref="Z17:Z20" si="3">O18+T18+Y18</f>
        <v>1</v>
      </c>
    </row>
    <row r="18" spans="2:26" x14ac:dyDescent="0.3">
      <c r="B18" s="253">
        <v>2</v>
      </c>
      <c r="C18" s="682" t="s">
        <v>389</v>
      </c>
      <c r="D18" s="683"/>
      <c r="E18" s="683"/>
      <c r="F18" s="683"/>
      <c r="G18" s="683"/>
      <c r="H18" s="683"/>
      <c r="I18" s="684"/>
      <c r="J18" s="254"/>
      <c r="K18" s="304"/>
      <c r="L18" s="304"/>
      <c r="M18" s="304"/>
      <c r="N18" s="304">
        <v>1</v>
      </c>
      <c r="O18" s="303">
        <v>1</v>
      </c>
      <c r="P18" s="319"/>
      <c r="Q18" s="319"/>
      <c r="R18" s="319"/>
      <c r="S18" s="319">
        <v>1</v>
      </c>
      <c r="T18" s="303"/>
      <c r="U18" s="320"/>
      <c r="V18" s="320"/>
      <c r="W18" s="320"/>
      <c r="X18" s="320">
        <v>1</v>
      </c>
      <c r="Y18" s="303"/>
      <c r="Z18" s="282">
        <f t="shared" si="3"/>
        <v>1</v>
      </c>
    </row>
    <row r="19" spans="2:26" x14ac:dyDescent="0.3">
      <c r="B19" s="253">
        <v>3</v>
      </c>
      <c r="C19" s="682" t="s">
        <v>390</v>
      </c>
      <c r="D19" s="683"/>
      <c r="E19" s="683"/>
      <c r="F19" s="683"/>
      <c r="G19" s="683"/>
      <c r="H19" s="683"/>
      <c r="I19" s="684"/>
      <c r="J19" s="254"/>
      <c r="K19" s="304"/>
      <c r="L19" s="304"/>
      <c r="M19" s="304"/>
      <c r="N19" s="304">
        <v>1</v>
      </c>
      <c r="O19" s="303">
        <v>1</v>
      </c>
      <c r="P19" s="319"/>
      <c r="Q19" s="319"/>
      <c r="R19" s="319"/>
      <c r="S19" s="319">
        <v>1</v>
      </c>
      <c r="T19" s="303"/>
      <c r="U19" s="320"/>
      <c r="V19" s="320"/>
      <c r="W19" s="320"/>
      <c r="X19" s="320">
        <v>1</v>
      </c>
      <c r="Y19" s="303"/>
      <c r="Z19" s="282">
        <f t="shared" si="3"/>
        <v>1</v>
      </c>
    </row>
    <row r="20" spans="2:26" x14ac:dyDescent="0.3">
      <c r="B20" s="253">
        <v>4</v>
      </c>
      <c r="C20" s="682" t="s">
        <v>343</v>
      </c>
      <c r="D20" s="683"/>
      <c r="E20" s="683"/>
      <c r="F20" s="683"/>
      <c r="G20" s="683"/>
      <c r="H20" s="683"/>
      <c r="I20" s="684"/>
      <c r="J20" s="254"/>
      <c r="K20" s="304"/>
      <c r="L20" s="304"/>
      <c r="M20" s="304"/>
      <c r="N20" s="304">
        <v>1</v>
      </c>
      <c r="O20" s="303">
        <v>1</v>
      </c>
      <c r="P20" s="319"/>
      <c r="Q20" s="319"/>
      <c r="R20" s="319"/>
      <c r="S20" s="319">
        <v>1</v>
      </c>
      <c r="T20" s="303"/>
      <c r="U20" s="320"/>
      <c r="V20" s="320"/>
      <c r="W20" s="320"/>
      <c r="X20" s="320">
        <v>1</v>
      </c>
      <c r="Y20" s="303"/>
      <c r="Z20" s="282">
        <f t="shared" si="3"/>
        <v>0</v>
      </c>
    </row>
    <row r="22" spans="2:26" x14ac:dyDescent="0.3">
      <c r="C22" s="324"/>
    </row>
    <row r="23" spans="2:26" x14ac:dyDescent="0.3">
      <c r="B23" s="699" t="str">
        <f>C10</f>
        <v>Periodically conduct qualitative and quantitative assessment on ongoing IEC/BCC interventions</v>
      </c>
      <c r="C23" s="700"/>
      <c r="D23" s="700"/>
      <c r="E23" s="700"/>
      <c r="F23" s="700"/>
      <c r="G23" s="700"/>
      <c r="H23" s="700"/>
      <c r="I23" s="701"/>
      <c r="J23" s="254"/>
      <c r="K23" s="718" t="s">
        <v>26</v>
      </c>
      <c r="L23" s="718"/>
      <c r="M23" s="718"/>
      <c r="N23" s="718"/>
      <c r="O23" s="301" t="str">
        <f>O8</f>
        <v>Year 1</v>
      </c>
      <c r="P23" s="726" t="s">
        <v>27</v>
      </c>
      <c r="Q23" s="727"/>
      <c r="R23" s="727"/>
      <c r="S23" s="728"/>
      <c r="T23" s="302" t="str">
        <f>T8</f>
        <v>Year 2</v>
      </c>
      <c r="U23" s="729" t="s">
        <v>28</v>
      </c>
      <c r="V23" s="730"/>
      <c r="W23" s="730"/>
      <c r="X23" s="731"/>
      <c r="Y23" s="303" t="str">
        <f>Y8</f>
        <v>Year 3</v>
      </c>
      <c r="Z23" s="282"/>
    </row>
    <row r="24" spans="2:26" x14ac:dyDescent="0.3">
      <c r="B24" s="253"/>
      <c r="C24" s="253" t="s">
        <v>35</v>
      </c>
      <c r="D24" s="274" t="s">
        <v>50</v>
      </c>
      <c r="E24" s="274" t="s">
        <v>51</v>
      </c>
      <c r="F24" s="274" t="s">
        <v>52</v>
      </c>
      <c r="G24" s="274" t="s">
        <v>53</v>
      </c>
      <c r="H24" s="274" t="s">
        <v>54</v>
      </c>
      <c r="I24" s="274" t="s">
        <v>55</v>
      </c>
      <c r="J24" s="254"/>
      <c r="K24" s="304" t="s">
        <v>36</v>
      </c>
      <c r="L24" s="304" t="s">
        <v>37</v>
      </c>
      <c r="M24" s="304" t="s">
        <v>38</v>
      </c>
      <c r="N24" s="304" t="s">
        <v>39</v>
      </c>
      <c r="O24" s="303" t="s">
        <v>9</v>
      </c>
      <c r="P24" s="319" t="s">
        <v>36</v>
      </c>
      <c r="Q24" s="319" t="s">
        <v>37</v>
      </c>
      <c r="R24" s="319" t="s">
        <v>38</v>
      </c>
      <c r="S24" s="319" t="s">
        <v>39</v>
      </c>
      <c r="T24" s="303" t="s">
        <v>9</v>
      </c>
      <c r="U24" s="320" t="s">
        <v>36</v>
      </c>
      <c r="V24" s="320" t="s">
        <v>37</v>
      </c>
      <c r="W24" s="320" t="s">
        <v>38</v>
      </c>
      <c r="X24" s="320" t="s">
        <v>39</v>
      </c>
      <c r="Y24" s="303" t="s">
        <v>9</v>
      </c>
      <c r="Z24" s="282" t="s">
        <v>40</v>
      </c>
    </row>
    <row r="25" spans="2:26" ht="43.2" x14ac:dyDescent="0.3">
      <c r="B25" s="253" t="s">
        <v>385</v>
      </c>
      <c r="C25" s="245" t="str">
        <f>C10</f>
        <v>Periodically conduct qualitative and quantitative assessment on ongoing IEC/BCC interventions</v>
      </c>
      <c r="D25" s="245"/>
      <c r="E25" s="245"/>
      <c r="F25" s="245"/>
      <c r="G25" s="245"/>
      <c r="H25" s="245"/>
      <c r="I25" s="245"/>
      <c r="J25" s="254"/>
      <c r="K25" s="304"/>
      <c r="L25" s="304"/>
      <c r="M25" s="304"/>
      <c r="N25" s="304"/>
      <c r="O25" s="303">
        <f>K25+L25+M25+N25</f>
        <v>0</v>
      </c>
      <c r="P25" s="319"/>
      <c r="Q25" s="319"/>
      <c r="R25" s="319"/>
      <c r="S25" s="319"/>
      <c r="T25" s="303">
        <f>P25+Q25+R25+S25</f>
        <v>0</v>
      </c>
      <c r="U25" s="320"/>
      <c r="V25" s="320"/>
      <c r="W25" s="320"/>
      <c r="X25" s="320"/>
      <c r="Y25" s="303">
        <f>U25+V25+W25+X25</f>
        <v>0</v>
      </c>
      <c r="Z25" s="282">
        <f>O25+T25+Y25</f>
        <v>0</v>
      </c>
    </row>
    <row r="26" spans="2:26" x14ac:dyDescent="0.3">
      <c r="B26" s="253">
        <f>B11</f>
        <v>1</v>
      </c>
      <c r="C26" s="253" t="s">
        <v>321</v>
      </c>
      <c r="D26" s="274">
        <v>0</v>
      </c>
      <c r="E26" s="274">
        <v>0</v>
      </c>
      <c r="F26" s="274">
        <v>0</v>
      </c>
      <c r="G26" s="308">
        <v>1</v>
      </c>
      <c r="H26" s="274">
        <f>D26*E26*F26*G26</f>
        <v>0</v>
      </c>
      <c r="I26" s="274">
        <f>H26/54</f>
        <v>0</v>
      </c>
      <c r="J26" s="533"/>
      <c r="K26" s="304"/>
      <c r="L26" s="304"/>
      <c r="M26" s="304"/>
      <c r="N26" s="304"/>
      <c r="O26" s="303">
        <f t="shared" ref="O26:O36" si="4">K26+L26+M26+N26</f>
        <v>0</v>
      </c>
      <c r="P26" s="319"/>
      <c r="Q26" s="319"/>
      <c r="R26" s="319"/>
      <c r="S26" s="319"/>
      <c r="T26" s="303">
        <f t="shared" ref="T26:T36" si="5">P26+Q26+R26+S26</f>
        <v>0</v>
      </c>
      <c r="U26" s="320"/>
      <c r="V26" s="320"/>
      <c r="W26" s="320"/>
      <c r="X26" s="320"/>
      <c r="Y26" s="303">
        <f t="shared" ref="Y26:Y36" si="6">U26+V26+W26+X26</f>
        <v>0</v>
      </c>
      <c r="Z26" s="282">
        <f t="shared" ref="Z26:Z36" si="7">O26+T26+Y26</f>
        <v>0</v>
      </c>
    </row>
    <row r="27" spans="2:26" x14ac:dyDescent="0.3">
      <c r="B27" s="253">
        <f t="shared" ref="B27:B29" si="8">B12</f>
        <v>2</v>
      </c>
      <c r="C27" s="253" t="s">
        <v>371</v>
      </c>
      <c r="D27" s="274">
        <v>100000</v>
      </c>
      <c r="E27" s="274">
        <v>1</v>
      </c>
      <c r="F27" s="274">
        <v>1</v>
      </c>
      <c r="G27" s="308">
        <v>1</v>
      </c>
      <c r="H27" s="274">
        <f t="shared" ref="H27:H36" si="9">D27*E27*F27*G27</f>
        <v>100000</v>
      </c>
      <c r="I27" s="274">
        <f t="shared" ref="I27:I36" si="10">H27/54</f>
        <v>1851.851851851852</v>
      </c>
      <c r="J27" s="533"/>
      <c r="K27" s="304"/>
      <c r="L27" s="304"/>
      <c r="M27" s="304">
        <f>I27*M12</f>
        <v>1851.851851851852</v>
      </c>
      <c r="N27" s="304"/>
      <c r="O27" s="303">
        <f t="shared" si="4"/>
        <v>1851.851851851852</v>
      </c>
      <c r="P27" s="319"/>
      <c r="Q27" s="319"/>
      <c r="R27" s="319"/>
      <c r="S27" s="319"/>
      <c r="T27" s="303">
        <f t="shared" si="5"/>
        <v>0</v>
      </c>
      <c r="U27" s="320"/>
      <c r="V27" s="320"/>
      <c r="W27" s="320"/>
      <c r="X27" s="320"/>
      <c r="Y27" s="303">
        <f t="shared" si="6"/>
        <v>0</v>
      </c>
      <c r="Z27" s="282">
        <f t="shared" si="7"/>
        <v>1851.851851851852</v>
      </c>
    </row>
    <row r="28" spans="2:26" x14ac:dyDescent="0.3">
      <c r="B28" s="253">
        <f t="shared" si="8"/>
        <v>3</v>
      </c>
      <c r="C28" s="253" t="s">
        <v>387</v>
      </c>
      <c r="D28" s="274">
        <v>500000</v>
      </c>
      <c r="E28" s="274">
        <v>1</v>
      </c>
      <c r="F28" s="274">
        <v>1</v>
      </c>
      <c r="G28" s="308">
        <v>1</v>
      </c>
      <c r="H28" s="274">
        <f t="shared" si="9"/>
        <v>500000</v>
      </c>
      <c r="I28" s="274">
        <f t="shared" si="10"/>
        <v>9259.2592592592591</v>
      </c>
      <c r="J28" s="533"/>
      <c r="K28" s="304"/>
      <c r="L28" s="304"/>
      <c r="M28" s="304"/>
      <c r="N28" s="304">
        <f>I28*N13</f>
        <v>111111.11111111111</v>
      </c>
      <c r="O28" s="303">
        <f t="shared" si="4"/>
        <v>111111.11111111111</v>
      </c>
      <c r="P28" s="319"/>
      <c r="Q28" s="319"/>
      <c r="R28" s="319">
        <f>I28*R13</f>
        <v>111111.11111111111</v>
      </c>
      <c r="S28" s="319"/>
      <c r="T28" s="303">
        <f t="shared" si="5"/>
        <v>111111.11111111111</v>
      </c>
      <c r="U28" s="320"/>
      <c r="V28" s="320"/>
      <c r="W28" s="320">
        <f>I28*W13</f>
        <v>111111.11111111111</v>
      </c>
      <c r="X28" s="320"/>
      <c r="Y28" s="303">
        <f t="shared" si="6"/>
        <v>111111.11111111111</v>
      </c>
      <c r="Z28" s="282">
        <f t="shared" si="7"/>
        <v>333333.33333333331</v>
      </c>
    </row>
    <row r="29" spans="2:26" x14ac:dyDescent="0.3">
      <c r="B29" s="253">
        <f t="shared" si="8"/>
        <v>4</v>
      </c>
      <c r="C29" s="253" t="s">
        <v>343</v>
      </c>
      <c r="D29" s="274">
        <v>200000</v>
      </c>
      <c r="E29" s="274">
        <v>1</v>
      </c>
      <c r="F29" s="274">
        <v>1</v>
      </c>
      <c r="G29" s="308">
        <v>1</v>
      </c>
      <c r="H29" s="274">
        <f t="shared" si="9"/>
        <v>200000</v>
      </c>
      <c r="I29" s="274">
        <f t="shared" si="10"/>
        <v>3703.7037037037039</v>
      </c>
      <c r="J29" s="533"/>
      <c r="K29" s="304"/>
      <c r="L29" s="304"/>
      <c r="M29" s="304"/>
      <c r="N29" s="304"/>
      <c r="O29" s="303">
        <f t="shared" si="4"/>
        <v>0</v>
      </c>
      <c r="P29" s="319">
        <f>I29*P14</f>
        <v>3703.7037037037039</v>
      </c>
      <c r="Q29" s="319"/>
      <c r="R29" s="319"/>
      <c r="S29" s="319">
        <f>I29*S14</f>
        <v>3703.7037037037039</v>
      </c>
      <c r="T29" s="303">
        <f t="shared" si="5"/>
        <v>7407.4074074074078</v>
      </c>
      <c r="U29" s="320"/>
      <c r="V29" s="320"/>
      <c r="W29" s="320"/>
      <c r="X29" s="320">
        <f>I29*X14</f>
        <v>3703.7037037037039</v>
      </c>
      <c r="Y29" s="303">
        <f t="shared" si="6"/>
        <v>3703.7037037037039</v>
      </c>
      <c r="Z29" s="282">
        <f t="shared" si="7"/>
        <v>11111.111111111111</v>
      </c>
    </row>
    <row r="30" spans="2:26" x14ac:dyDescent="0.3">
      <c r="B30" s="309"/>
      <c r="C30" s="309" t="s">
        <v>56</v>
      </c>
      <c r="D30" s="310"/>
      <c r="E30" s="310"/>
      <c r="F30" s="310"/>
      <c r="G30" s="428"/>
      <c r="H30" s="310"/>
      <c r="I30" s="310"/>
      <c r="J30" s="534"/>
      <c r="K30" s="310">
        <f>K26+K27+K28+K29</f>
        <v>0</v>
      </c>
      <c r="L30" s="310">
        <f t="shared" ref="L30:Z30" si="11">L26+L27+L28+L29</f>
        <v>0</v>
      </c>
      <c r="M30" s="310">
        <f t="shared" si="11"/>
        <v>1851.851851851852</v>
      </c>
      <c r="N30" s="310">
        <f t="shared" si="11"/>
        <v>111111.11111111111</v>
      </c>
      <c r="O30" s="310">
        <f t="shared" si="11"/>
        <v>112962.96296296296</v>
      </c>
      <c r="P30" s="310">
        <f t="shared" si="11"/>
        <v>3703.7037037037039</v>
      </c>
      <c r="Q30" s="310">
        <f t="shared" si="11"/>
        <v>0</v>
      </c>
      <c r="R30" s="310">
        <f t="shared" si="11"/>
        <v>111111.11111111111</v>
      </c>
      <c r="S30" s="310">
        <f t="shared" si="11"/>
        <v>3703.7037037037039</v>
      </c>
      <c r="T30" s="310">
        <f t="shared" si="11"/>
        <v>118518.51851851851</v>
      </c>
      <c r="U30" s="310">
        <f t="shared" si="11"/>
        <v>0</v>
      </c>
      <c r="V30" s="310">
        <f t="shared" si="11"/>
        <v>0</v>
      </c>
      <c r="W30" s="310">
        <f t="shared" si="11"/>
        <v>111111.11111111111</v>
      </c>
      <c r="X30" s="310">
        <f t="shared" si="11"/>
        <v>3703.7037037037039</v>
      </c>
      <c r="Y30" s="310">
        <f t="shared" si="11"/>
        <v>114814.81481481482</v>
      </c>
      <c r="Z30" s="310">
        <f t="shared" si="11"/>
        <v>346296.29629629629</v>
      </c>
    </row>
    <row r="31" spans="2:26" x14ac:dyDescent="0.3">
      <c r="B31" s="699" t="str">
        <f>C16</f>
        <v>Analyse media reporting at the end of 2014, 2015 &amp; 2016</v>
      </c>
      <c r="C31" s="700"/>
      <c r="D31" s="700"/>
      <c r="E31" s="700"/>
      <c r="F31" s="700"/>
      <c r="G31" s="700"/>
      <c r="H31" s="700"/>
      <c r="I31" s="701"/>
      <c r="J31" s="533"/>
      <c r="K31" s="313"/>
      <c r="L31" s="313"/>
      <c r="M31" s="313"/>
      <c r="N31" s="313"/>
      <c r="O31" s="303">
        <f t="shared" si="4"/>
        <v>0</v>
      </c>
      <c r="P31" s="313"/>
      <c r="Q31" s="313"/>
      <c r="R31" s="313"/>
      <c r="S31" s="313"/>
      <c r="T31" s="303">
        <f t="shared" si="5"/>
        <v>0</v>
      </c>
      <c r="U31" s="313"/>
      <c r="V31" s="313"/>
      <c r="W31" s="313"/>
      <c r="X31" s="313"/>
      <c r="Y31" s="303">
        <f t="shared" si="6"/>
        <v>0</v>
      </c>
      <c r="Z31" s="282">
        <f t="shared" si="7"/>
        <v>0</v>
      </c>
    </row>
    <row r="32" spans="2:26" x14ac:dyDescent="0.3">
      <c r="B32" s="253" t="s">
        <v>386</v>
      </c>
      <c r="C32" s="253" t="str">
        <f>C16</f>
        <v>Analyse media reporting at the end of 2014, 2015 &amp; 2016</v>
      </c>
      <c r="D32" s="274"/>
      <c r="E32" s="274"/>
      <c r="F32" s="274"/>
      <c r="G32" s="308"/>
      <c r="H32" s="274">
        <f t="shared" si="9"/>
        <v>0</v>
      </c>
      <c r="I32" s="274">
        <f t="shared" si="10"/>
        <v>0</v>
      </c>
      <c r="J32" s="533"/>
      <c r="K32" s="304"/>
      <c r="L32" s="304"/>
      <c r="M32" s="304"/>
      <c r="N32" s="304"/>
      <c r="O32" s="303">
        <f t="shared" si="4"/>
        <v>0</v>
      </c>
      <c r="P32" s="319"/>
      <c r="Q32" s="319"/>
      <c r="R32" s="319"/>
      <c r="S32" s="319"/>
      <c r="T32" s="303">
        <f t="shared" si="5"/>
        <v>0</v>
      </c>
      <c r="U32" s="320"/>
      <c r="V32" s="320"/>
      <c r="W32" s="320"/>
      <c r="X32" s="320"/>
      <c r="Y32" s="303">
        <f t="shared" si="6"/>
        <v>0</v>
      </c>
      <c r="Z32" s="282">
        <f t="shared" si="7"/>
        <v>0</v>
      </c>
    </row>
    <row r="33" spans="2:26" x14ac:dyDescent="0.3">
      <c r="B33" s="253">
        <f>B17</f>
        <v>1</v>
      </c>
      <c r="C33" s="253" t="s">
        <v>388</v>
      </c>
      <c r="D33" s="274">
        <v>10000</v>
      </c>
      <c r="E33" s="274">
        <v>1</v>
      </c>
      <c r="F33" s="274">
        <v>1</v>
      </c>
      <c r="G33" s="308">
        <v>1</v>
      </c>
      <c r="H33" s="274">
        <f t="shared" si="9"/>
        <v>10000</v>
      </c>
      <c r="I33" s="274">
        <f t="shared" si="10"/>
        <v>185.18518518518519</v>
      </c>
      <c r="J33" s="533"/>
      <c r="K33" s="304">
        <f>I33*K17</f>
        <v>2222.2222222222222</v>
      </c>
      <c r="L33" s="304">
        <f>K33</f>
        <v>2222.2222222222222</v>
      </c>
      <c r="M33" s="304">
        <f t="shared" ref="M33:N33" si="12">L33</f>
        <v>2222.2222222222222</v>
      </c>
      <c r="N33" s="304">
        <f t="shared" si="12"/>
        <v>2222.2222222222222</v>
      </c>
      <c r="O33" s="303">
        <f t="shared" si="4"/>
        <v>8888.8888888888887</v>
      </c>
      <c r="P33" s="319">
        <f>N33</f>
        <v>2222.2222222222222</v>
      </c>
      <c r="Q33" s="319">
        <f>P33</f>
        <v>2222.2222222222222</v>
      </c>
      <c r="R33" s="319">
        <f t="shared" ref="R33:S33" si="13">Q33</f>
        <v>2222.2222222222222</v>
      </c>
      <c r="S33" s="319">
        <f t="shared" si="13"/>
        <v>2222.2222222222222</v>
      </c>
      <c r="T33" s="303">
        <f t="shared" si="5"/>
        <v>8888.8888888888887</v>
      </c>
      <c r="U33" s="320">
        <f>S33</f>
        <v>2222.2222222222222</v>
      </c>
      <c r="V33" s="320">
        <f>U33</f>
        <v>2222.2222222222222</v>
      </c>
      <c r="W33" s="320">
        <f t="shared" ref="W33:X33" si="14">V33</f>
        <v>2222.2222222222222</v>
      </c>
      <c r="X33" s="320">
        <f t="shared" si="14"/>
        <v>2222.2222222222222</v>
      </c>
      <c r="Y33" s="303">
        <f t="shared" si="6"/>
        <v>8888.8888888888887</v>
      </c>
      <c r="Z33" s="282">
        <f t="shared" si="7"/>
        <v>26666.666666666664</v>
      </c>
    </row>
    <row r="34" spans="2:26" x14ac:dyDescent="0.3">
      <c r="B34" s="253">
        <f t="shared" ref="B34:B36" si="15">B18</f>
        <v>2</v>
      </c>
      <c r="C34" s="253" t="s">
        <v>389</v>
      </c>
      <c r="D34" s="274">
        <v>200000</v>
      </c>
      <c r="E34" s="274">
        <v>1</v>
      </c>
      <c r="F34" s="274">
        <v>1</v>
      </c>
      <c r="G34" s="308">
        <v>1</v>
      </c>
      <c r="H34" s="274">
        <f t="shared" si="9"/>
        <v>200000</v>
      </c>
      <c r="I34" s="274">
        <f t="shared" si="10"/>
        <v>3703.7037037037039</v>
      </c>
      <c r="J34" s="533"/>
      <c r="K34" s="304"/>
      <c r="L34" s="304"/>
      <c r="M34" s="304"/>
      <c r="N34" s="304">
        <f>I34*N19</f>
        <v>3703.7037037037039</v>
      </c>
      <c r="O34" s="303">
        <f t="shared" si="4"/>
        <v>3703.7037037037039</v>
      </c>
      <c r="P34" s="319"/>
      <c r="Q34" s="319"/>
      <c r="R34" s="319"/>
      <c r="S34" s="319">
        <f>I34*S19</f>
        <v>3703.7037037037039</v>
      </c>
      <c r="T34" s="303">
        <f t="shared" si="5"/>
        <v>3703.7037037037039</v>
      </c>
      <c r="U34" s="320"/>
      <c r="V34" s="320"/>
      <c r="W34" s="320"/>
      <c r="X34" s="320">
        <f>I34*X19</f>
        <v>3703.7037037037039</v>
      </c>
      <c r="Y34" s="303">
        <f t="shared" si="6"/>
        <v>3703.7037037037039</v>
      </c>
      <c r="Z34" s="282">
        <f t="shared" si="7"/>
        <v>11111.111111111111</v>
      </c>
    </row>
    <row r="35" spans="2:26" x14ac:dyDescent="0.3">
      <c r="B35" s="253">
        <f t="shared" si="15"/>
        <v>3</v>
      </c>
      <c r="C35" s="253" t="s">
        <v>390</v>
      </c>
      <c r="D35" s="274">
        <v>300000</v>
      </c>
      <c r="E35" s="274">
        <v>1</v>
      </c>
      <c r="F35" s="274">
        <v>1</v>
      </c>
      <c r="G35" s="308">
        <v>1</v>
      </c>
      <c r="H35" s="274">
        <f t="shared" si="9"/>
        <v>300000</v>
      </c>
      <c r="I35" s="274">
        <f t="shared" si="10"/>
        <v>5555.5555555555557</v>
      </c>
      <c r="J35" s="533"/>
      <c r="K35" s="304"/>
      <c r="L35" s="304"/>
      <c r="M35" s="304"/>
      <c r="N35" s="304">
        <f>I35*N20</f>
        <v>5555.5555555555557</v>
      </c>
      <c r="O35" s="303">
        <f t="shared" si="4"/>
        <v>5555.5555555555557</v>
      </c>
      <c r="P35" s="319"/>
      <c r="Q35" s="319"/>
      <c r="R35" s="319"/>
      <c r="S35" s="319">
        <f>N35</f>
        <v>5555.5555555555557</v>
      </c>
      <c r="T35" s="303">
        <f t="shared" si="5"/>
        <v>5555.5555555555557</v>
      </c>
      <c r="U35" s="320"/>
      <c r="V35" s="320"/>
      <c r="W35" s="320"/>
      <c r="X35" s="320">
        <f>S35</f>
        <v>5555.5555555555557</v>
      </c>
      <c r="Y35" s="303">
        <f t="shared" si="6"/>
        <v>5555.5555555555557</v>
      </c>
      <c r="Z35" s="282">
        <f t="shared" si="7"/>
        <v>16666.666666666668</v>
      </c>
    </row>
    <row r="36" spans="2:26" x14ac:dyDescent="0.3">
      <c r="B36" s="253">
        <f t="shared" si="15"/>
        <v>4</v>
      </c>
      <c r="C36" s="253" t="s">
        <v>343</v>
      </c>
      <c r="D36" s="274">
        <v>100000</v>
      </c>
      <c r="E36" s="274">
        <v>1</v>
      </c>
      <c r="F36" s="274">
        <v>1</v>
      </c>
      <c r="G36" s="308">
        <v>1</v>
      </c>
      <c r="H36" s="274">
        <f t="shared" si="9"/>
        <v>100000</v>
      </c>
      <c r="I36" s="274">
        <f t="shared" si="10"/>
        <v>1851.851851851852</v>
      </c>
      <c r="J36" s="533"/>
      <c r="K36" s="304"/>
      <c r="L36" s="304"/>
      <c r="M36" s="304"/>
      <c r="N36" s="304">
        <f>I36</f>
        <v>1851.851851851852</v>
      </c>
      <c r="O36" s="303">
        <f t="shared" si="4"/>
        <v>1851.851851851852</v>
      </c>
      <c r="P36" s="319"/>
      <c r="Q36" s="319"/>
      <c r="R36" s="319"/>
      <c r="S36" s="319">
        <f>N36</f>
        <v>1851.851851851852</v>
      </c>
      <c r="T36" s="303">
        <f t="shared" si="5"/>
        <v>1851.851851851852</v>
      </c>
      <c r="U36" s="320"/>
      <c r="V36" s="320"/>
      <c r="W36" s="320"/>
      <c r="X36" s="320">
        <f>S36</f>
        <v>1851.851851851852</v>
      </c>
      <c r="Y36" s="303">
        <f t="shared" si="6"/>
        <v>1851.851851851852</v>
      </c>
      <c r="Z36" s="282">
        <f t="shared" si="7"/>
        <v>5555.5555555555557</v>
      </c>
    </row>
    <row r="37" spans="2:26" x14ac:dyDescent="0.3">
      <c r="B37" s="309"/>
      <c r="C37" s="309" t="s">
        <v>56</v>
      </c>
      <c r="D37" s="310"/>
      <c r="E37" s="310"/>
      <c r="F37" s="310"/>
      <c r="G37" s="428"/>
      <c r="H37" s="310"/>
      <c r="I37" s="310"/>
      <c r="J37" s="534"/>
      <c r="K37" s="310">
        <f>K33+K34+K35+K36</f>
        <v>2222.2222222222222</v>
      </c>
      <c r="L37" s="310">
        <f t="shared" ref="L37:Z37" si="16">L33+L34+L35+L36</f>
        <v>2222.2222222222222</v>
      </c>
      <c r="M37" s="310">
        <f t="shared" si="16"/>
        <v>2222.2222222222222</v>
      </c>
      <c r="N37" s="310">
        <f t="shared" si="16"/>
        <v>13333.333333333334</v>
      </c>
      <c r="O37" s="310">
        <f t="shared" si="16"/>
        <v>20000</v>
      </c>
      <c r="P37" s="310">
        <f t="shared" si="16"/>
        <v>2222.2222222222222</v>
      </c>
      <c r="Q37" s="310">
        <f t="shared" si="16"/>
        <v>2222.2222222222222</v>
      </c>
      <c r="R37" s="310">
        <f t="shared" si="16"/>
        <v>2222.2222222222222</v>
      </c>
      <c r="S37" s="310">
        <f t="shared" si="16"/>
        <v>13333.333333333334</v>
      </c>
      <c r="T37" s="310">
        <f t="shared" si="16"/>
        <v>20000</v>
      </c>
      <c r="U37" s="310">
        <f t="shared" si="16"/>
        <v>2222.2222222222222</v>
      </c>
      <c r="V37" s="310">
        <f t="shared" si="16"/>
        <v>2222.2222222222222</v>
      </c>
      <c r="W37" s="310">
        <f t="shared" si="16"/>
        <v>2222.2222222222222</v>
      </c>
      <c r="X37" s="310">
        <f t="shared" si="16"/>
        <v>13333.333333333334</v>
      </c>
      <c r="Y37" s="310">
        <f t="shared" si="16"/>
        <v>20000</v>
      </c>
      <c r="Z37" s="310">
        <f t="shared" si="16"/>
        <v>59999.999999999993</v>
      </c>
    </row>
    <row r="38" spans="2:26" x14ac:dyDescent="0.3">
      <c r="J38" s="438"/>
    </row>
    <row r="39" spans="2:26" x14ac:dyDescent="0.3">
      <c r="J39" s="438"/>
    </row>
    <row r="40" spans="2:26" x14ac:dyDescent="0.3">
      <c r="B40" s="253"/>
      <c r="C40" s="253" t="s">
        <v>59</v>
      </c>
      <c r="D40" s="253"/>
      <c r="E40" s="253"/>
      <c r="F40" s="253"/>
      <c r="G40" s="253"/>
      <c r="H40" s="253"/>
      <c r="I40" s="253"/>
      <c r="J40" s="53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99"/>
    </row>
    <row r="41" spans="2:26" x14ac:dyDescent="0.3">
      <c r="B41" s="253"/>
      <c r="C41" s="253"/>
      <c r="D41" s="253"/>
      <c r="E41" s="253"/>
      <c r="F41" s="253"/>
      <c r="G41" s="253"/>
      <c r="H41" s="253"/>
      <c r="I41" s="253"/>
      <c r="J41" s="533"/>
      <c r="K41" s="722" t="s">
        <v>26</v>
      </c>
      <c r="L41" s="722"/>
      <c r="M41" s="722"/>
      <c r="N41" s="722"/>
      <c r="O41" s="368"/>
      <c r="P41" s="722" t="s">
        <v>27</v>
      </c>
      <c r="Q41" s="722"/>
      <c r="R41" s="722"/>
      <c r="S41" s="722"/>
      <c r="T41" s="369"/>
      <c r="U41" s="722" t="s">
        <v>28</v>
      </c>
      <c r="V41" s="722"/>
      <c r="W41" s="722"/>
      <c r="X41" s="722"/>
      <c r="Y41" s="313"/>
      <c r="Z41" s="312" t="s">
        <v>19</v>
      </c>
    </row>
    <row r="42" spans="2:26" x14ac:dyDescent="0.3">
      <c r="B42" s="253"/>
      <c r="C42" s="253"/>
      <c r="D42" s="253"/>
      <c r="E42" s="253"/>
      <c r="F42" s="253"/>
      <c r="G42" s="253"/>
      <c r="H42" s="253"/>
      <c r="I42" s="253"/>
      <c r="J42" s="533"/>
      <c r="K42" s="313" t="s">
        <v>36</v>
      </c>
      <c r="L42" s="313" t="s">
        <v>37</v>
      </c>
      <c r="M42" s="313" t="s">
        <v>38</v>
      </c>
      <c r="N42" s="313" t="s">
        <v>39</v>
      </c>
      <c r="O42" s="313" t="s">
        <v>9</v>
      </c>
      <c r="P42" s="313" t="s">
        <v>36</v>
      </c>
      <c r="Q42" s="313" t="s">
        <v>37</v>
      </c>
      <c r="R42" s="313" t="s">
        <v>38</v>
      </c>
      <c r="S42" s="313" t="s">
        <v>39</v>
      </c>
      <c r="T42" s="313" t="s">
        <v>9</v>
      </c>
      <c r="U42" s="313" t="s">
        <v>36</v>
      </c>
      <c r="V42" s="313" t="s">
        <v>37</v>
      </c>
      <c r="W42" s="313" t="s">
        <v>38</v>
      </c>
      <c r="X42" s="313" t="s">
        <v>39</v>
      </c>
      <c r="Y42" s="313" t="s">
        <v>9</v>
      </c>
      <c r="Z42" s="312"/>
    </row>
    <row r="43" spans="2:26" x14ac:dyDescent="0.3">
      <c r="B43" s="253" t="s">
        <v>385</v>
      </c>
      <c r="C43" s="253" t="str">
        <f>C3</f>
        <v>Periodically conduct qualitative and quantitative assessment on ongoing IEC/BCC interventions</v>
      </c>
      <c r="D43" s="253"/>
      <c r="E43" s="253"/>
      <c r="F43" s="253"/>
      <c r="G43" s="253"/>
      <c r="H43" s="253"/>
      <c r="I43" s="253"/>
      <c r="J43" s="533"/>
      <c r="K43" s="370">
        <f t="shared" ref="K43:Z43" si="17">K30</f>
        <v>0</v>
      </c>
      <c r="L43" s="370">
        <f t="shared" si="17"/>
        <v>0</v>
      </c>
      <c r="M43" s="370">
        <f t="shared" si="17"/>
        <v>1851.851851851852</v>
      </c>
      <c r="N43" s="370">
        <f t="shared" si="17"/>
        <v>111111.11111111111</v>
      </c>
      <c r="O43" s="370">
        <f t="shared" si="17"/>
        <v>112962.96296296296</v>
      </c>
      <c r="P43" s="370">
        <f t="shared" si="17"/>
        <v>3703.7037037037039</v>
      </c>
      <c r="Q43" s="370">
        <f t="shared" si="17"/>
        <v>0</v>
      </c>
      <c r="R43" s="370">
        <f t="shared" si="17"/>
        <v>111111.11111111111</v>
      </c>
      <c r="S43" s="370">
        <f t="shared" si="17"/>
        <v>3703.7037037037039</v>
      </c>
      <c r="T43" s="370">
        <f t="shared" si="17"/>
        <v>118518.51851851851</v>
      </c>
      <c r="U43" s="370">
        <f t="shared" si="17"/>
        <v>0</v>
      </c>
      <c r="V43" s="370">
        <f t="shared" si="17"/>
        <v>0</v>
      </c>
      <c r="W43" s="370">
        <f t="shared" si="17"/>
        <v>111111.11111111111</v>
      </c>
      <c r="X43" s="370">
        <f t="shared" si="17"/>
        <v>3703.7037037037039</v>
      </c>
      <c r="Y43" s="370">
        <f t="shared" si="17"/>
        <v>114814.81481481482</v>
      </c>
      <c r="Z43" s="429">
        <f t="shared" si="17"/>
        <v>346296.29629629629</v>
      </c>
    </row>
    <row r="44" spans="2:26" x14ac:dyDescent="0.3">
      <c r="B44" s="253" t="s">
        <v>386</v>
      </c>
      <c r="C44" s="253" t="str">
        <f>C4</f>
        <v>Analyse media reporting at the end of 2014, 2015 &amp; 2016</v>
      </c>
      <c r="D44" s="253"/>
      <c r="E44" s="253"/>
      <c r="F44" s="253"/>
      <c r="G44" s="253"/>
      <c r="H44" s="253"/>
      <c r="I44" s="253"/>
      <c r="J44" s="533"/>
      <c r="K44" s="370">
        <f t="shared" ref="K44:Z44" si="18">K37</f>
        <v>2222.2222222222222</v>
      </c>
      <c r="L44" s="370">
        <f t="shared" si="18"/>
        <v>2222.2222222222222</v>
      </c>
      <c r="M44" s="370">
        <f t="shared" si="18"/>
        <v>2222.2222222222222</v>
      </c>
      <c r="N44" s="370">
        <f t="shared" si="18"/>
        <v>13333.333333333334</v>
      </c>
      <c r="O44" s="370">
        <f t="shared" si="18"/>
        <v>20000</v>
      </c>
      <c r="P44" s="370">
        <f t="shared" si="18"/>
        <v>2222.2222222222222</v>
      </c>
      <c r="Q44" s="370">
        <f t="shared" si="18"/>
        <v>2222.2222222222222</v>
      </c>
      <c r="R44" s="370">
        <f t="shared" si="18"/>
        <v>2222.2222222222222</v>
      </c>
      <c r="S44" s="370">
        <f t="shared" si="18"/>
        <v>13333.333333333334</v>
      </c>
      <c r="T44" s="370">
        <f t="shared" si="18"/>
        <v>20000</v>
      </c>
      <c r="U44" s="370">
        <f t="shared" si="18"/>
        <v>2222.2222222222222</v>
      </c>
      <c r="V44" s="370">
        <f t="shared" si="18"/>
        <v>2222.2222222222222</v>
      </c>
      <c r="W44" s="370">
        <f t="shared" si="18"/>
        <v>2222.2222222222222</v>
      </c>
      <c r="X44" s="370">
        <f t="shared" si="18"/>
        <v>13333.333333333334</v>
      </c>
      <c r="Y44" s="370">
        <f t="shared" si="18"/>
        <v>20000</v>
      </c>
      <c r="Z44" s="429">
        <f t="shared" si="18"/>
        <v>59999.999999999993</v>
      </c>
    </row>
    <row r="45" spans="2:26" x14ac:dyDescent="0.3">
      <c r="B45" s="253"/>
      <c r="C45" s="291" t="s">
        <v>59</v>
      </c>
      <c r="D45" s="291"/>
      <c r="E45" s="291"/>
      <c r="F45" s="291"/>
      <c r="G45" s="291"/>
      <c r="H45" s="291"/>
      <c r="I45" s="291"/>
      <c r="J45" s="534"/>
      <c r="K45" s="429">
        <f>K43+K44</f>
        <v>2222.2222222222222</v>
      </c>
      <c r="L45" s="429">
        <f t="shared" ref="L45:Z45" si="19">L43+L44</f>
        <v>2222.2222222222222</v>
      </c>
      <c r="M45" s="429">
        <f t="shared" si="19"/>
        <v>4074.0740740740739</v>
      </c>
      <c r="N45" s="429">
        <f t="shared" si="19"/>
        <v>124444.44444444444</v>
      </c>
      <c r="O45" s="429">
        <f t="shared" si="19"/>
        <v>132962.96296296298</v>
      </c>
      <c r="P45" s="429">
        <f t="shared" si="19"/>
        <v>5925.9259259259261</v>
      </c>
      <c r="Q45" s="429">
        <f t="shared" si="19"/>
        <v>2222.2222222222222</v>
      </c>
      <c r="R45" s="429">
        <f t="shared" si="19"/>
        <v>113333.33333333333</v>
      </c>
      <c r="S45" s="429">
        <f t="shared" si="19"/>
        <v>17037.037037037036</v>
      </c>
      <c r="T45" s="429">
        <f t="shared" si="19"/>
        <v>138518.51851851851</v>
      </c>
      <c r="U45" s="429">
        <f t="shared" si="19"/>
        <v>2222.2222222222222</v>
      </c>
      <c r="V45" s="429">
        <f t="shared" si="19"/>
        <v>2222.2222222222222</v>
      </c>
      <c r="W45" s="429">
        <f t="shared" si="19"/>
        <v>113333.33333333333</v>
      </c>
      <c r="X45" s="429">
        <f t="shared" si="19"/>
        <v>17037.037037037036</v>
      </c>
      <c r="Y45" s="429">
        <f t="shared" si="19"/>
        <v>134814.81481481483</v>
      </c>
      <c r="Z45" s="429">
        <f t="shared" si="19"/>
        <v>406296.29629629629</v>
      </c>
    </row>
    <row r="46" spans="2:26" x14ac:dyDescent="0.3">
      <c r="J46" s="438"/>
    </row>
  </sheetData>
  <mergeCells count="22">
    <mergeCell ref="B31:I31"/>
    <mergeCell ref="K41:N41"/>
    <mergeCell ref="P41:S41"/>
    <mergeCell ref="U41:X41"/>
    <mergeCell ref="C19:I19"/>
    <mergeCell ref="C20:I20"/>
    <mergeCell ref="B23:I23"/>
    <mergeCell ref="K23:N23"/>
    <mergeCell ref="P23:S23"/>
    <mergeCell ref="U23:X23"/>
    <mergeCell ref="C18:I18"/>
    <mergeCell ref="B7:I7"/>
    <mergeCell ref="K8:N8"/>
    <mergeCell ref="P8:S8"/>
    <mergeCell ref="U8:X8"/>
    <mergeCell ref="C10:I10"/>
    <mergeCell ref="C11:I11"/>
    <mergeCell ref="C12:I12"/>
    <mergeCell ref="C13:I13"/>
    <mergeCell ref="C14:I14"/>
    <mergeCell ref="C16:I16"/>
    <mergeCell ref="C17:I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AI71"/>
  <sheetViews>
    <sheetView topLeftCell="F20" zoomScale="90" zoomScaleNormal="90" zoomScalePageLayoutView="90" workbookViewId="0">
      <selection activeCell="B49" sqref="B49:J49"/>
    </sheetView>
  </sheetViews>
  <sheetFormatPr defaultColWidth="8.88671875" defaultRowHeight="14.4" x14ac:dyDescent="0.3"/>
  <cols>
    <col min="1" max="2" width="8.88671875" style="216"/>
    <col min="3" max="3" width="54" style="216" customWidth="1"/>
    <col min="4" max="5" width="17.44140625" style="216" bestFit="1" customWidth="1"/>
    <col min="6" max="6" width="14.88671875" style="216" bestFit="1" customWidth="1"/>
    <col min="7" max="7" width="17" style="216" bestFit="1" customWidth="1"/>
    <col min="8" max="8" width="17.44140625" style="216" bestFit="1" customWidth="1"/>
    <col min="9" max="9" width="14.33203125" style="216" customWidth="1"/>
    <col min="10" max="10" width="12.33203125" style="216" bestFit="1" customWidth="1"/>
    <col min="11" max="11" width="13.33203125" style="216" bestFit="1" customWidth="1"/>
    <col min="12" max="12" width="16.88671875" style="216" bestFit="1" customWidth="1"/>
    <col min="13" max="14" width="14.44140625" style="216" bestFit="1" customWidth="1"/>
    <col min="15" max="15" width="15.33203125" style="216" bestFit="1" customWidth="1"/>
    <col min="16" max="19" width="14.44140625" style="216" hidden="1" customWidth="1"/>
    <col min="20" max="20" width="15" style="216" bestFit="1" customWidth="1"/>
    <col min="21" max="24" width="14.44140625" style="216" hidden="1" customWidth="1"/>
    <col min="25" max="25" width="15" style="216" bestFit="1" customWidth="1"/>
    <col min="26" max="26" width="17" style="225" bestFit="1" customWidth="1"/>
    <col min="27" max="16384" width="8.88671875" style="216"/>
  </cols>
  <sheetData>
    <row r="2" spans="2:26" s="225" customFormat="1" ht="28.8" x14ac:dyDescent="0.3">
      <c r="B2" s="223">
        <v>4.2</v>
      </c>
      <c r="C2" s="244" t="s">
        <v>311</v>
      </c>
      <c r="D2" s="226" t="s">
        <v>26</v>
      </c>
      <c r="E2" s="226" t="s">
        <v>27</v>
      </c>
      <c r="F2" s="226" t="s">
        <v>28</v>
      </c>
      <c r="G2" s="226" t="s">
        <v>9</v>
      </c>
    </row>
    <row r="3" spans="2:26" ht="28.8" x14ac:dyDescent="0.3">
      <c r="B3" s="227" t="s">
        <v>391</v>
      </c>
      <c r="C3" s="245" t="s">
        <v>312</v>
      </c>
      <c r="D3" s="246">
        <f>O28</f>
        <v>651851.85185185191</v>
      </c>
      <c r="E3" s="246">
        <f>T28</f>
        <v>0</v>
      </c>
      <c r="F3" s="246">
        <f>Y28</f>
        <v>0</v>
      </c>
      <c r="G3" s="246">
        <f>D3+E3+F3</f>
        <v>651851.85185185191</v>
      </c>
    </row>
    <row r="4" spans="2:26" ht="28.8" x14ac:dyDescent="0.3">
      <c r="B4" s="227" t="s">
        <v>392</v>
      </c>
      <c r="C4" s="245" t="s">
        <v>313</v>
      </c>
      <c r="D4" s="246">
        <f>O35</f>
        <v>178073.62962962964</v>
      </c>
      <c r="E4" s="246">
        <f>T35</f>
        <v>356147.25925925927</v>
      </c>
      <c r="F4" s="246">
        <f>Y35</f>
        <v>356147.25925925927</v>
      </c>
      <c r="G4" s="246">
        <f t="shared" ref="G4" si="0">D4+E4+F4</f>
        <v>890368.14814814809</v>
      </c>
    </row>
    <row r="5" spans="2:26" ht="22.5" customHeight="1" x14ac:dyDescent="0.3">
      <c r="B5" s="227"/>
      <c r="C5" s="247" t="s">
        <v>10</v>
      </c>
      <c r="D5" s="248">
        <f>D3+D4</f>
        <v>829925.48148148158</v>
      </c>
      <c r="E5" s="248">
        <f t="shared" ref="E5:G5" si="1">E3+E4</f>
        <v>356147.25925925927</v>
      </c>
      <c r="F5" s="248">
        <f t="shared" si="1"/>
        <v>356147.25925925927</v>
      </c>
      <c r="G5" s="248">
        <f t="shared" si="1"/>
        <v>1542220</v>
      </c>
    </row>
    <row r="7" spans="2:26" x14ac:dyDescent="0.3">
      <c r="B7" s="685" t="s">
        <v>34</v>
      </c>
      <c r="C7" s="686"/>
      <c r="D7" s="686"/>
      <c r="E7" s="686"/>
      <c r="F7" s="686"/>
      <c r="G7" s="686"/>
      <c r="H7" s="686"/>
      <c r="I7" s="686"/>
    </row>
    <row r="8" spans="2:26" x14ac:dyDescent="0.3">
      <c r="B8" s="253"/>
      <c r="C8" s="253"/>
      <c r="D8" s="253"/>
      <c r="E8" s="253"/>
      <c r="F8" s="253"/>
      <c r="G8" s="253"/>
      <c r="H8" s="253"/>
      <c r="I8" s="253"/>
      <c r="J8" s="254"/>
      <c r="K8" s="718" t="s">
        <v>26</v>
      </c>
      <c r="L8" s="718"/>
      <c r="M8" s="718"/>
      <c r="N8" s="718"/>
      <c r="O8" s="301" t="s">
        <v>26</v>
      </c>
      <c r="P8" s="726" t="s">
        <v>27</v>
      </c>
      <c r="Q8" s="727"/>
      <c r="R8" s="727"/>
      <c r="S8" s="728"/>
      <c r="T8" s="302" t="s">
        <v>27</v>
      </c>
      <c r="U8" s="729" t="s">
        <v>28</v>
      </c>
      <c r="V8" s="730"/>
      <c r="W8" s="730"/>
      <c r="X8" s="731"/>
      <c r="Y8" s="303" t="s">
        <v>28</v>
      </c>
      <c r="Z8" s="282"/>
    </row>
    <row r="9" spans="2:26" x14ac:dyDescent="0.3">
      <c r="B9" s="253"/>
      <c r="C9" s="253" t="s">
        <v>35</v>
      </c>
      <c r="D9" s="253"/>
      <c r="E9" s="253"/>
      <c r="F9" s="253"/>
      <c r="G9" s="253"/>
      <c r="H9" s="253"/>
      <c r="I9" s="253"/>
      <c r="J9" s="254"/>
      <c r="K9" s="304" t="s">
        <v>36</v>
      </c>
      <c r="L9" s="304" t="s">
        <v>37</v>
      </c>
      <c r="M9" s="304" t="s">
        <v>38</v>
      </c>
      <c r="N9" s="304" t="s">
        <v>39</v>
      </c>
      <c r="O9" s="303" t="s">
        <v>9</v>
      </c>
      <c r="P9" s="319" t="s">
        <v>36</v>
      </c>
      <c r="Q9" s="319" t="s">
        <v>37</v>
      </c>
      <c r="R9" s="319" t="s">
        <v>38</v>
      </c>
      <c r="S9" s="319" t="s">
        <v>39</v>
      </c>
      <c r="T9" s="303" t="s">
        <v>9</v>
      </c>
      <c r="U9" s="320" t="s">
        <v>36</v>
      </c>
      <c r="V9" s="320" t="s">
        <v>37</v>
      </c>
      <c r="W9" s="320" t="s">
        <v>38</v>
      </c>
      <c r="X9" s="320" t="s">
        <v>39</v>
      </c>
      <c r="Y9" s="303" t="s">
        <v>9</v>
      </c>
      <c r="Z9" s="282" t="s">
        <v>19</v>
      </c>
    </row>
    <row r="10" spans="2:26" ht="21" customHeight="1" x14ac:dyDescent="0.3">
      <c r="B10" s="253" t="s">
        <v>391</v>
      </c>
      <c r="C10" s="732" t="str">
        <f>C3</f>
        <v>Development and Designing HERMES or similar dyanamic computer simulation model for vaccine supply chain</v>
      </c>
      <c r="D10" s="733"/>
      <c r="E10" s="733"/>
      <c r="F10" s="733"/>
      <c r="G10" s="733"/>
      <c r="H10" s="733"/>
      <c r="I10" s="734"/>
      <c r="J10" s="254"/>
      <c r="K10" s="304"/>
      <c r="L10" s="304"/>
      <c r="M10" s="304"/>
      <c r="N10" s="304"/>
      <c r="O10" s="303"/>
      <c r="P10" s="319"/>
      <c r="Q10" s="319"/>
      <c r="R10" s="319"/>
      <c r="S10" s="319"/>
      <c r="T10" s="303"/>
      <c r="U10" s="320"/>
      <c r="V10" s="320"/>
      <c r="W10" s="320"/>
      <c r="X10" s="320"/>
      <c r="Y10" s="303"/>
      <c r="Z10" s="282"/>
    </row>
    <row r="11" spans="2:26" x14ac:dyDescent="0.3">
      <c r="B11" s="253">
        <v>1</v>
      </c>
      <c r="C11" s="682" t="s">
        <v>321</v>
      </c>
      <c r="D11" s="683"/>
      <c r="E11" s="683"/>
      <c r="F11" s="683"/>
      <c r="G11" s="683"/>
      <c r="H11" s="683"/>
      <c r="I11" s="684"/>
      <c r="J11" s="254"/>
      <c r="K11" s="304">
        <v>1</v>
      </c>
      <c r="L11" s="304"/>
      <c r="M11" s="304"/>
      <c r="N11" s="304"/>
      <c r="O11" s="303"/>
      <c r="P11" s="319"/>
      <c r="Q11" s="319"/>
      <c r="R11" s="319"/>
      <c r="S11" s="319"/>
      <c r="T11" s="303"/>
      <c r="U11" s="320"/>
      <c r="V11" s="320"/>
      <c r="W11" s="320"/>
      <c r="X11" s="320"/>
      <c r="Y11" s="303"/>
      <c r="Z11" s="282">
        <v>1</v>
      </c>
    </row>
    <row r="12" spans="2:26" x14ac:dyDescent="0.3">
      <c r="B12" s="253">
        <v>2</v>
      </c>
      <c r="C12" s="682" t="s">
        <v>393</v>
      </c>
      <c r="D12" s="683"/>
      <c r="E12" s="683"/>
      <c r="F12" s="683"/>
      <c r="G12" s="683"/>
      <c r="H12" s="683"/>
      <c r="I12" s="684"/>
      <c r="J12" s="254"/>
      <c r="K12" s="304">
        <v>1</v>
      </c>
      <c r="L12" s="304"/>
      <c r="M12" s="304"/>
      <c r="N12" s="304"/>
      <c r="O12" s="303"/>
      <c r="P12" s="319"/>
      <c r="Q12" s="319"/>
      <c r="R12" s="319"/>
      <c r="S12" s="319"/>
      <c r="T12" s="303"/>
      <c r="U12" s="320"/>
      <c r="V12" s="320"/>
      <c r="W12" s="320"/>
      <c r="X12" s="320"/>
      <c r="Y12" s="303"/>
      <c r="Z12" s="282">
        <v>1</v>
      </c>
    </row>
    <row r="13" spans="2:26" x14ac:dyDescent="0.3">
      <c r="B13" s="253">
        <v>3</v>
      </c>
      <c r="C13" s="682" t="s">
        <v>394</v>
      </c>
      <c r="D13" s="683"/>
      <c r="E13" s="683"/>
      <c r="F13" s="683"/>
      <c r="G13" s="683"/>
      <c r="H13" s="683"/>
      <c r="I13" s="684"/>
      <c r="J13" s="254"/>
      <c r="K13" s="304"/>
      <c r="L13" s="304">
        <v>1</v>
      </c>
      <c r="M13" s="304"/>
      <c r="N13" s="304"/>
      <c r="O13" s="303"/>
      <c r="P13" s="319"/>
      <c r="Q13" s="319"/>
      <c r="R13" s="319"/>
      <c r="S13" s="319"/>
      <c r="T13" s="303"/>
      <c r="U13" s="320"/>
      <c r="V13" s="320"/>
      <c r="W13" s="320"/>
      <c r="X13" s="320"/>
      <c r="Y13" s="303"/>
      <c r="Z13" s="282">
        <v>1</v>
      </c>
    </row>
    <row r="14" spans="2:26" s="300" customFormat="1" x14ac:dyDescent="0.3">
      <c r="B14" s="263"/>
      <c r="C14" s="263"/>
      <c r="D14" s="263"/>
      <c r="E14" s="263"/>
      <c r="F14" s="263"/>
      <c r="G14" s="263"/>
      <c r="H14" s="263"/>
      <c r="I14" s="263"/>
      <c r="J14" s="215"/>
      <c r="K14" s="313"/>
      <c r="L14" s="313"/>
      <c r="M14" s="313"/>
      <c r="N14" s="313"/>
      <c r="O14" s="314"/>
      <c r="P14" s="313"/>
      <c r="Q14" s="313"/>
      <c r="R14" s="313"/>
      <c r="S14" s="313"/>
      <c r="T14" s="314"/>
      <c r="U14" s="313"/>
      <c r="V14" s="313"/>
      <c r="W14" s="313"/>
      <c r="X14" s="313"/>
      <c r="Y14" s="314"/>
      <c r="Z14" s="312"/>
    </row>
    <row r="15" spans="2:26" ht="24.75" customHeight="1" x14ac:dyDescent="0.3">
      <c r="B15" s="253" t="s">
        <v>392</v>
      </c>
      <c r="C15" s="750" t="str">
        <f>C4</f>
        <v>Scale up use of the model based strategy development approaches such as HERMES in seven focus states</v>
      </c>
      <c r="D15" s="751"/>
      <c r="E15" s="751"/>
      <c r="F15" s="751"/>
      <c r="G15" s="751"/>
      <c r="H15" s="751"/>
      <c r="I15" s="752"/>
      <c r="J15" s="254"/>
      <c r="K15" s="304"/>
      <c r="L15" s="304"/>
      <c r="M15" s="304"/>
      <c r="N15" s="304"/>
      <c r="O15" s="303"/>
      <c r="P15" s="319"/>
      <c r="Q15" s="319"/>
      <c r="R15" s="319"/>
      <c r="S15" s="319"/>
      <c r="T15" s="303"/>
      <c r="U15" s="320"/>
      <c r="V15" s="320"/>
      <c r="W15" s="320"/>
      <c r="X15" s="320"/>
      <c r="Y15" s="303"/>
      <c r="Z15" s="282"/>
    </row>
    <row r="16" spans="2:26" x14ac:dyDescent="0.3">
      <c r="B16" s="253">
        <v>1</v>
      </c>
      <c r="C16" s="682" t="s">
        <v>395</v>
      </c>
      <c r="D16" s="683"/>
      <c r="E16" s="683"/>
      <c r="F16" s="683"/>
      <c r="G16" s="683"/>
      <c r="H16" s="683"/>
      <c r="I16" s="684"/>
      <c r="J16" s="254"/>
      <c r="K16" s="304"/>
      <c r="L16" s="304"/>
      <c r="M16" s="304" t="s">
        <v>143</v>
      </c>
      <c r="N16" s="304" t="s">
        <v>143</v>
      </c>
      <c r="O16" s="303"/>
      <c r="P16" s="319" t="s">
        <v>143</v>
      </c>
      <c r="Q16" s="319" t="s">
        <v>143</v>
      </c>
      <c r="R16" s="319" t="s">
        <v>143</v>
      </c>
      <c r="S16" s="319" t="s">
        <v>143</v>
      </c>
      <c r="T16" s="303"/>
      <c r="U16" s="320" t="s">
        <v>143</v>
      </c>
      <c r="V16" s="320" t="s">
        <v>143</v>
      </c>
      <c r="W16" s="320" t="s">
        <v>143</v>
      </c>
      <c r="X16" s="320" t="s">
        <v>143</v>
      </c>
      <c r="Y16" s="303"/>
      <c r="Z16" s="282"/>
    </row>
    <row r="17" spans="2:35" x14ac:dyDescent="0.3">
      <c r="B17" s="253">
        <v>2</v>
      </c>
      <c r="C17" s="682" t="s">
        <v>94</v>
      </c>
      <c r="D17" s="683"/>
      <c r="E17" s="683"/>
      <c r="F17" s="683"/>
      <c r="G17" s="683"/>
      <c r="H17" s="683"/>
      <c r="I17" s="684"/>
      <c r="J17" s="254"/>
      <c r="K17" s="304"/>
      <c r="L17" s="304"/>
      <c r="M17" s="304" t="s">
        <v>143</v>
      </c>
      <c r="N17" s="304" t="s">
        <v>143</v>
      </c>
      <c r="O17" s="303"/>
      <c r="P17" s="319" t="s">
        <v>143</v>
      </c>
      <c r="Q17" s="319" t="s">
        <v>143</v>
      </c>
      <c r="R17" s="319" t="s">
        <v>143</v>
      </c>
      <c r="S17" s="319" t="s">
        <v>143</v>
      </c>
      <c r="T17" s="303"/>
      <c r="U17" s="320" t="s">
        <v>143</v>
      </c>
      <c r="V17" s="320" t="s">
        <v>143</v>
      </c>
      <c r="W17" s="320" t="s">
        <v>143</v>
      </c>
      <c r="X17" s="320" t="s">
        <v>143</v>
      </c>
      <c r="Y17" s="303"/>
      <c r="Z17" s="282"/>
    </row>
    <row r="18" spans="2:35" x14ac:dyDescent="0.3">
      <c r="B18" s="253">
        <v>3</v>
      </c>
      <c r="C18" s="682" t="s">
        <v>396</v>
      </c>
      <c r="D18" s="683"/>
      <c r="E18" s="683"/>
      <c r="F18" s="683"/>
      <c r="G18" s="683"/>
      <c r="H18" s="683"/>
      <c r="I18" s="684"/>
      <c r="J18" s="254"/>
      <c r="K18" s="304"/>
      <c r="L18" s="304"/>
      <c r="M18" s="304" t="s">
        <v>143</v>
      </c>
      <c r="N18" s="304" t="s">
        <v>143</v>
      </c>
      <c r="O18" s="303"/>
      <c r="P18" s="319" t="s">
        <v>143</v>
      </c>
      <c r="Q18" s="319" t="s">
        <v>143</v>
      </c>
      <c r="R18" s="319" t="s">
        <v>143</v>
      </c>
      <c r="S18" s="319" t="s">
        <v>143</v>
      </c>
      <c r="T18" s="303"/>
      <c r="U18" s="320" t="s">
        <v>143</v>
      </c>
      <c r="V18" s="320" t="s">
        <v>143</v>
      </c>
      <c r="W18" s="320" t="s">
        <v>143</v>
      </c>
      <c r="X18" s="320" t="s">
        <v>143</v>
      </c>
      <c r="Y18" s="303"/>
      <c r="Z18" s="282"/>
    </row>
    <row r="19" spans="2:35" x14ac:dyDescent="0.3">
      <c r="B19" s="253">
        <v>4</v>
      </c>
      <c r="C19" s="682" t="s">
        <v>397</v>
      </c>
      <c r="D19" s="683"/>
      <c r="E19" s="683"/>
      <c r="F19" s="683"/>
      <c r="G19" s="683"/>
      <c r="H19" s="683"/>
      <c r="I19" s="684"/>
      <c r="J19" s="254"/>
      <c r="K19" s="304"/>
      <c r="L19" s="304"/>
      <c r="M19" s="304" t="s">
        <v>143</v>
      </c>
      <c r="N19" s="304" t="s">
        <v>143</v>
      </c>
      <c r="O19" s="303"/>
      <c r="P19" s="319" t="s">
        <v>143</v>
      </c>
      <c r="Q19" s="319" t="s">
        <v>143</v>
      </c>
      <c r="R19" s="319" t="s">
        <v>143</v>
      </c>
      <c r="S19" s="319" t="s">
        <v>143</v>
      </c>
      <c r="T19" s="303"/>
      <c r="U19" s="320" t="s">
        <v>143</v>
      </c>
      <c r="V19" s="320" t="s">
        <v>143</v>
      </c>
      <c r="W19" s="320" t="s">
        <v>143</v>
      </c>
      <c r="X19" s="320" t="s">
        <v>143</v>
      </c>
      <c r="Y19" s="303"/>
      <c r="Z19" s="282"/>
    </row>
    <row r="21" spans="2:35" x14ac:dyDescent="0.3">
      <c r="C21" s="324" t="s">
        <v>381</v>
      </c>
    </row>
    <row r="22" spans="2:35" x14ac:dyDescent="0.3">
      <c r="B22" s="699" t="str">
        <f>C10</f>
        <v>Development and Designing HERMES or similar dyanamic computer simulation model for vaccine supply chain</v>
      </c>
      <c r="C22" s="700"/>
      <c r="D22" s="700"/>
      <c r="E22" s="700"/>
      <c r="F22" s="700"/>
      <c r="G22" s="700"/>
      <c r="H22" s="700"/>
      <c r="I22" s="701"/>
      <c r="J22" s="533"/>
      <c r="K22" s="718" t="s">
        <v>26</v>
      </c>
      <c r="L22" s="718"/>
      <c r="M22" s="718"/>
      <c r="N22" s="718"/>
      <c r="O22" s="303" t="str">
        <f>O8</f>
        <v>Year 1</v>
      </c>
      <c r="P22" s="744" t="s">
        <v>27</v>
      </c>
      <c r="Q22" s="744"/>
      <c r="R22" s="744"/>
      <c r="S22" s="744"/>
      <c r="T22" s="303" t="str">
        <f>T8</f>
        <v>Year 2</v>
      </c>
      <c r="U22" s="745" t="s">
        <v>28</v>
      </c>
      <c r="V22" s="745"/>
      <c r="W22" s="745"/>
      <c r="X22" s="745"/>
      <c r="Y22" s="303" t="str">
        <f>Y8</f>
        <v>Year 3</v>
      </c>
      <c r="Z22" s="282"/>
    </row>
    <row r="23" spans="2:35" x14ac:dyDescent="0.3">
      <c r="B23" s="253"/>
      <c r="C23" s="253" t="s">
        <v>35</v>
      </c>
      <c r="D23" s="274" t="s">
        <v>50</v>
      </c>
      <c r="E23" s="274" t="s">
        <v>51</v>
      </c>
      <c r="F23" s="274" t="s">
        <v>52</v>
      </c>
      <c r="G23" s="274" t="s">
        <v>53</v>
      </c>
      <c r="H23" s="274" t="s">
        <v>54</v>
      </c>
      <c r="I23" s="274" t="s">
        <v>55</v>
      </c>
      <c r="J23" s="533"/>
      <c r="K23" s="304" t="s">
        <v>36</v>
      </c>
      <c r="L23" s="304" t="s">
        <v>37</v>
      </c>
      <c r="M23" s="304" t="s">
        <v>38</v>
      </c>
      <c r="N23" s="304" t="s">
        <v>39</v>
      </c>
      <c r="O23" s="303" t="s">
        <v>9</v>
      </c>
      <c r="P23" s="319" t="s">
        <v>36</v>
      </c>
      <c r="Q23" s="319" t="s">
        <v>37</v>
      </c>
      <c r="R23" s="319" t="s">
        <v>38</v>
      </c>
      <c r="S23" s="319" t="s">
        <v>39</v>
      </c>
      <c r="T23" s="303" t="s">
        <v>9</v>
      </c>
      <c r="U23" s="320" t="s">
        <v>36</v>
      </c>
      <c r="V23" s="320" t="s">
        <v>37</v>
      </c>
      <c r="W23" s="320" t="s">
        <v>38</v>
      </c>
      <c r="X23" s="320" t="s">
        <v>39</v>
      </c>
      <c r="Y23" s="303" t="s">
        <v>9</v>
      </c>
      <c r="Z23" s="282" t="s">
        <v>19</v>
      </c>
    </row>
    <row r="24" spans="2:35" ht="48.75" customHeight="1" x14ac:dyDescent="0.3">
      <c r="B24" s="253" t="s">
        <v>391</v>
      </c>
      <c r="C24" s="245" t="str">
        <f>C10</f>
        <v>Development and Designing HERMES or similar dyanamic computer simulation model for vaccine supply chain</v>
      </c>
      <c r="D24" s="307"/>
      <c r="E24" s="307"/>
      <c r="F24" s="307"/>
      <c r="G24" s="245"/>
      <c r="H24" s="307"/>
      <c r="I24" s="307"/>
      <c r="J24" s="533"/>
      <c r="K24" s="304"/>
      <c r="L24" s="304"/>
      <c r="M24" s="304"/>
      <c r="N24" s="304"/>
      <c r="O24" s="303">
        <f>K24+L24+M24+N24</f>
        <v>0</v>
      </c>
      <c r="P24" s="319"/>
      <c r="Q24" s="319"/>
      <c r="R24" s="319"/>
      <c r="S24" s="319"/>
      <c r="T24" s="303">
        <f>P24+Q24+R24+S24</f>
        <v>0</v>
      </c>
      <c r="U24" s="320"/>
      <c r="V24" s="320"/>
      <c r="W24" s="320"/>
      <c r="X24" s="320"/>
      <c r="Y24" s="303">
        <f>U24+V24+W24+X24</f>
        <v>0</v>
      </c>
      <c r="Z24" s="282">
        <f>O24+T24+Y24</f>
        <v>0</v>
      </c>
    </row>
    <row r="25" spans="2:35" x14ac:dyDescent="0.3">
      <c r="B25" s="253">
        <f>B11</f>
        <v>1</v>
      </c>
      <c r="C25" s="253" t="s">
        <v>321</v>
      </c>
      <c r="D25" s="274">
        <v>0</v>
      </c>
      <c r="E25" s="274">
        <v>0</v>
      </c>
      <c r="F25" s="274">
        <v>0</v>
      </c>
      <c r="G25" s="271">
        <v>1</v>
      </c>
      <c r="H25" s="274">
        <f>D25*E25*F25*G25</f>
        <v>0</v>
      </c>
      <c r="I25" s="274">
        <f>H25/54</f>
        <v>0</v>
      </c>
      <c r="J25" s="533"/>
      <c r="K25" s="304">
        <f>I25*K11</f>
        <v>0</v>
      </c>
      <c r="L25" s="304"/>
      <c r="M25" s="304"/>
      <c r="N25" s="304"/>
      <c r="O25" s="303">
        <f t="shared" ref="O25:O34" si="2">K25+L25+M25+N25</f>
        <v>0</v>
      </c>
      <c r="P25" s="319"/>
      <c r="Q25" s="319"/>
      <c r="R25" s="319"/>
      <c r="S25" s="319"/>
      <c r="T25" s="303">
        <f t="shared" ref="T25:T34" si="3">P25+Q25+R25+S25</f>
        <v>0</v>
      </c>
      <c r="U25" s="320"/>
      <c r="V25" s="320"/>
      <c r="W25" s="320"/>
      <c r="X25" s="320"/>
      <c r="Y25" s="303">
        <f t="shared" ref="Y25:Y34" si="4">U25+V25+W25+X25</f>
        <v>0</v>
      </c>
      <c r="Z25" s="282">
        <f t="shared" ref="Z25:Z34" si="5">O25+T25+Y25</f>
        <v>0</v>
      </c>
    </row>
    <row r="26" spans="2:35" x14ac:dyDescent="0.3">
      <c r="B26" s="253">
        <f t="shared" ref="B26:B27" si="6">B12</f>
        <v>2</v>
      </c>
      <c r="C26" s="253" t="s">
        <v>393</v>
      </c>
      <c r="D26" s="274">
        <v>200000</v>
      </c>
      <c r="E26" s="274">
        <v>1</v>
      </c>
      <c r="F26" s="274">
        <v>1</v>
      </c>
      <c r="G26" s="271">
        <v>1</v>
      </c>
      <c r="H26" s="274">
        <f t="shared" ref="H26:H34" si="7">D26*E26*F26*G26</f>
        <v>200000</v>
      </c>
      <c r="I26" s="274">
        <f t="shared" ref="I26:I33" si="8">H26/54</f>
        <v>3703.7037037037039</v>
      </c>
      <c r="J26" s="533"/>
      <c r="K26" s="304">
        <f>I26*K12</f>
        <v>3703.7037037037039</v>
      </c>
      <c r="L26" s="304"/>
      <c r="M26" s="304"/>
      <c r="N26" s="304"/>
      <c r="O26" s="303">
        <f t="shared" si="2"/>
        <v>3703.7037037037039</v>
      </c>
      <c r="P26" s="319"/>
      <c r="Q26" s="319"/>
      <c r="R26" s="319"/>
      <c r="S26" s="319"/>
      <c r="T26" s="303">
        <f t="shared" si="3"/>
        <v>0</v>
      </c>
      <c r="U26" s="320"/>
      <c r="V26" s="320"/>
      <c r="W26" s="320"/>
      <c r="X26" s="320"/>
      <c r="Y26" s="303">
        <f t="shared" si="4"/>
        <v>0</v>
      </c>
      <c r="Z26" s="282">
        <f t="shared" si="5"/>
        <v>3703.7037037037039</v>
      </c>
    </row>
    <row r="27" spans="2:35" x14ac:dyDescent="0.3">
      <c r="B27" s="253">
        <f t="shared" si="6"/>
        <v>3</v>
      </c>
      <c r="C27" s="253" t="s">
        <v>394</v>
      </c>
      <c r="D27" s="274">
        <f>D47</f>
        <v>35000000</v>
      </c>
      <c r="E27" s="274">
        <v>1</v>
      </c>
      <c r="F27" s="274">
        <v>1</v>
      </c>
      <c r="G27" s="271">
        <v>1</v>
      </c>
      <c r="H27" s="274">
        <f t="shared" si="7"/>
        <v>35000000</v>
      </c>
      <c r="I27" s="274">
        <f t="shared" si="8"/>
        <v>648148.1481481482</v>
      </c>
      <c r="J27" s="533"/>
      <c r="K27" s="304"/>
      <c r="L27" s="304">
        <f>I27*L13</f>
        <v>648148.1481481482</v>
      </c>
      <c r="M27" s="304"/>
      <c r="N27" s="304"/>
      <c r="O27" s="303">
        <f t="shared" si="2"/>
        <v>648148.1481481482</v>
      </c>
      <c r="P27" s="319"/>
      <c r="Q27" s="319"/>
      <c r="R27" s="319"/>
      <c r="S27" s="319"/>
      <c r="T27" s="303">
        <f t="shared" si="3"/>
        <v>0</v>
      </c>
      <c r="U27" s="320"/>
      <c r="V27" s="320"/>
      <c r="W27" s="320"/>
      <c r="X27" s="320"/>
      <c r="Y27" s="303">
        <f t="shared" si="4"/>
        <v>0</v>
      </c>
      <c r="Z27" s="282">
        <f t="shared" si="5"/>
        <v>648148.1481481482</v>
      </c>
    </row>
    <row r="28" spans="2:35" x14ac:dyDescent="0.3">
      <c r="B28" s="277"/>
      <c r="C28" s="277" t="s">
        <v>56</v>
      </c>
      <c r="D28" s="286"/>
      <c r="E28" s="286"/>
      <c r="F28" s="286"/>
      <c r="G28" s="326"/>
      <c r="H28" s="286"/>
      <c r="I28" s="286"/>
      <c r="J28" s="533"/>
      <c r="K28" s="286">
        <f>K24+K25+K26+K27</f>
        <v>3703.7037037037039</v>
      </c>
      <c r="L28" s="286">
        <f t="shared" ref="L28:Z28" si="9">L24+L25+L26+L27</f>
        <v>648148.1481481482</v>
      </c>
      <c r="M28" s="286">
        <f t="shared" si="9"/>
        <v>0</v>
      </c>
      <c r="N28" s="286">
        <f t="shared" si="9"/>
        <v>0</v>
      </c>
      <c r="O28" s="286">
        <f t="shared" si="9"/>
        <v>651851.85185185191</v>
      </c>
      <c r="P28" s="286">
        <f t="shared" si="9"/>
        <v>0</v>
      </c>
      <c r="Q28" s="286">
        <f t="shared" si="9"/>
        <v>0</v>
      </c>
      <c r="R28" s="286">
        <f t="shared" si="9"/>
        <v>0</v>
      </c>
      <c r="S28" s="286">
        <f t="shared" si="9"/>
        <v>0</v>
      </c>
      <c r="T28" s="286">
        <f t="shared" si="9"/>
        <v>0</v>
      </c>
      <c r="U28" s="286">
        <f t="shared" si="9"/>
        <v>0</v>
      </c>
      <c r="V28" s="286">
        <f t="shared" si="9"/>
        <v>0</v>
      </c>
      <c r="W28" s="286">
        <f t="shared" si="9"/>
        <v>0</v>
      </c>
      <c r="X28" s="286">
        <f t="shared" si="9"/>
        <v>0</v>
      </c>
      <c r="Y28" s="286">
        <f t="shared" si="9"/>
        <v>0</v>
      </c>
      <c r="Z28" s="310">
        <f t="shared" si="9"/>
        <v>651851.85185185191</v>
      </c>
    </row>
    <row r="29" spans="2:35" s="300" customFormat="1" x14ac:dyDescent="0.3">
      <c r="B29" s="699" t="str">
        <f>C15</f>
        <v>Scale up use of the model based strategy development approaches such as HERMES in seven focus states</v>
      </c>
      <c r="C29" s="700"/>
      <c r="D29" s="700"/>
      <c r="E29" s="700"/>
      <c r="F29" s="700"/>
      <c r="G29" s="700"/>
      <c r="H29" s="700"/>
      <c r="I29" s="701"/>
      <c r="J29" s="533"/>
      <c r="K29" s="313"/>
      <c r="L29" s="313"/>
      <c r="M29" s="313"/>
      <c r="N29" s="313"/>
      <c r="O29" s="314"/>
      <c r="P29" s="313"/>
      <c r="Q29" s="313"/>
      <c r="R29" s="313"/>
      <c r="S29" s="313"/>
      <c r="T29" s="314"/>
      <c r="U29" s="313"/>
      <c r="V29" s="313"/>
      <c r="W29" s="313"/>
      <c r="X29" s="313"/>
      <c r="Y29" s="314"/>
      <c r="Z29" s="312"/>
      <c r="AA29" s="438"/>
      <c r="AB29" s="438"/>
      <c r="AC29" s="438"/>
      <c r="AD29" s="438"/>
      <c r="AE29" s="438"/>
      <c r="AF29" s="438"/>
      <c r="AG29" s="438"/>
      <c r="AH29" s="438"/>
      <c r="AI29" s="438"/>
    </row>
    <row r="30" spans="2:35" ht="56.25" customHeight="1" x14ac:dyDescent="0.3">
      <c r="B30" s="253" t="s">
        <v>392</v>
      </c>
      <c r="C30" s="430" t="str">
        <f>C15</f>
        <v>Scale up use of the model based strategy development approaches such as HERMES in seven focus states</v>
      </c>
      <c r="D30" s="274"/>
      <c r="E30" s="274"/>
      <c r="F30" s="274"/>
      <c r="G30" s="271"/>
      <c r="H30" s="274">
        <f t="shared" si="7"/>
        <v>0</v>
      </c>
      <c r="I30" s="274">
        <f t="shared" si="8"/>
        <v>0</v>
      </c>
      <c r="J30" s="533"/>
      <c r="K30" s="304"/>
      <c r="L30" s="304"/>
      <c r="M30" s="304"/>
      <c r="N30" s="304"/>
      <c r="O30" s="303">
        <f t="shared" si="2"/>
        <v>0</v>
      </c>
      <c r="P30" s="319"/>
      <c r="Q30" s="319"/>
      <c r="R30" s="319"/>
      <c r="S30" s="319"/>
      <c r="T30" s="303">
        <f t="shared" si="3"/>
        <v>0</v>
      </c>
      <c r="U30" s="320"/>
      <c r="V30" s="320"/>
      <c r="W30" s="320"/>
      <c r="X30" s="320"/>
      <c r="Y30" s="303">
        <f t="shared" si="4"/>
        <v>0</v>
      </c>
      <c r="Z30" s="282">
        <f t="shared" si="5"/>
        <v>0</v>
      </c>
    </row>
    <row r="31" spans="2:35" x14ac:dyDescent="0.3">
      <c r="B31" s="253">
        <f>B16</f>
        <v>1</v>
      </c>
      <c r="C31" s="253" t="s">
        <v>395</v>
      </c>
      <c r="D31" s="274">
        <f>D50</f>
        <v>13580000</v>
      </c>
      <c r="E31" s="274">
        <v>1</v>
      </c>
      <c r="F31" s="274">
        <v>1</v>
      </c>
      <c r="G31" s="271">
        <v>1</v>
      </c>
      <c r="H31" s="274">
        <f t="shared" si="7"/>
        <v>13580000</v>
      </c>
      <c r="I31" s="274">
        <f t="shared" si="8"/>
        <v>251481.48148148149</v>
      </c>
      <c r="J31" s="533"/>
      <c r="K31" s="304"/>
      <c r="L31" s="304"/>
      <c r="M31" s="304">
        <f>I31/10</f>
        <v>25148.14814814815</v>
      </c>
      <c r="N31" s="304">
        <f>M31</f>
        <v>25148.14814814815</v>
      </c>
      <c r="O31" s="303">
        <f t="shared" si="2"/>
        <v>50296.296296296299</v>
      </c>
      <c r="P31" s="319">
        <f>N31</f>
        <v>25148.14814814815</v>
      </c>
      <c r="Q31" s="319">
        <f>P31</f>
        <v>25148.14814814815</v>
      </c>
      <c r="R31" s="319">
        <f t="shared" ref="R31:S34" si="10">Q31</f>
        <v>25148.14814814815</v>
      </c>
      <c r="S31" s="319">
        <f t="shared" si="10"/>
        <v>25148.14814814815</v>
      </c>
      <c r="T31" s="303">
        <f t="shared" si="3"/>
        <v>100592.5925925926</v>
      </c>
      <c r="U31" s="320">
        <f>S31</f>
        <v>25148.14814814815</v>
      </c>
      <c r="V31" s="320">
        <f>U31</f>
        <v>25148.14814814815</v>
      </c>
      <c r="W31" s="320">
        <f t="shared" ref="W31:X34" si="11">V31</f>
        <v>25148.14814814815</v>
      </c>
      <c r="X31" s="320">
        <f t="shared" si="11"/>
        <v>25148.14814814815</v>
      </c>
      <c r="Y31" s="303">
        <f t="shared" si="4"/>
        <v>100592.5925925926</v>
      </c>
      <c r="Z31" s="282">
        <f t="shared" si="5"/>
        <v>251481.48148148152</v>
      </c>
    </row>
    <row r="32" spans="2:35" x14ac:dyDescent="0.3">
      <c r="B32" s="253">
        <f t="shared" ref="B32:B34" si="12">B17</f>
        <v>2</v>
      </c>
      <c r="C32" s="253" t="s">
        <v>94</v>
      </c>
      <c r="D32" s="274">
        <f>D51</f>
        <v>19708500</v>
      </c>
      <c r="E32" s="274">
        <v>1</v>
      </c>
      <c r="F32" s="274">
        <v>1</v>
      </c>
      <c r="G32" s="271">
        <v>1</v>
      </c>
      <c r="H32" s="274">
        <f t="shared" si="7"/>
        <v>19708500</v>
      </c>
      <c r="I32" s="274">
        <f t="shared" si="8"/>
        <v>364972.22222222225</v>
      </c>
      <c r="J32" s="533"/>
      <c r="K32" s="304"/>
      <c r="L32" s="304"/>
      <c r="M32" s="304">
        <f>I32/10</f>
        <v>36497.222222222226</v>
      </c>
      <c r="N32" s="304">
        <f>M32</f>
        <v>36497.222222222226</v>
      </c>
      <c r="O32" s="303">
        <f t="shared" si="2"/>
        <v>72994.444444444453</v>
      </c>
      <c r="P32" s="319">
        <f>N32</f>
        <v>36497.222222222226</v>
      </c>
      <c r="Q32" s="319">
        <f>P32</f>
        <v>36497.222222222226</v>
      </c>
      <c r="R32" s="319">
        <f t="shared" si="10"/>
        <v>36497.222222222226</v>
      </c>
      <c r="S32" s="319">
        <f t="shared" si="10"/>
        <v>36497.222222222226</v>
      </c>
      <c r="T32" s="303">
        <f t="shared" si="3"/>
        <v>145988.88888888891</v>
      </c>
      <c r="U32" s="320">
        <f>S32</f>
        <v>36497.222222222226</v>
      </c>
      <c r="V32" s="320">
        <f>U32</f>
        <v>36497.222222222226</v>
      </c>
      <c r="W32" s="320">
        <f t="shared" si="11"/>
        <v>36497.222222222226</v>
      </c>
      <c r="X32" s="320">
        <f t="shared" si="11"/>
        <v>36497.222222222226</v>
      </c>
      <c r="Y32" s="303">
        <f t="shared" si="4"/>
        <v>145988.88888888891</v>
      </c>
      <c r="Z32" s="282">
        <f t="shared" si="5"/>
        <v>364972.22222222225</v>
      </c>
    </row>
    <row r="33" spans="1:35" x14ac:dyDescent="0.3">
      <c r="B33" s="253">
        <f t="shared" si="12"/>
        <v>3</v>
      </c>
      <c r="C33" s="253" t="s">
        <v>396</v>
      </c>
      <c r="D33" s="274">
        <f>D52</f>
        <v>13741380</v>
      </c>
      <c r="E33" s="274">
        <v>1</v>
      </c>
      <c r="F33" s="274">
        <v>1</v>
      </c>
      <c r="G33" s="271">
        <v>1</v>
      </c>
      <c r="H33" s="274">
        <f t="shared" si="7"/>
        <v>13741380</v>
      </c>
      <c r="I33" s="274">
        <f t="shared" si="8"/>
        <v>254470</v>
      </c>
      <c r="J33" s="533"/>
      <c r="K33" s="304"/>
      <c r="L33" s="304"/>
      <c r="M33" s="304">
        <f>I33/10</f>
        <v>25447</v>
      </c>
      <c r="N33" s="304">
        <f>M33</f>
        <v>25447</v>
      </c>
      <c r="O33" s="303">
        <f t="shared" si="2"/>
        <v>50894</v>
      </c>
      <c r="P33" s="319">
        <f>N33</f>
        <v>25447</v>
      </c>
      <c r="Q33" s="319">
        <f>P33</f>
        <v>25447</v>
      </c>
      <c r="R33" s="319">
        <f t="shared" si="10"/>
        <v>25447</v>
      </c>
      <c r="S33" s="319">
        <f t="shared" si="10"/>
        <v>25447</v>
      </c>
      <c r="T33" s="303">
        <f t="shared" si="3"/>
        <v>101788</v>
      </c>
      <c r="U33" s="320">
        <f>S33</f>
        <v>25447</v>
      </c>
      <c r="V33" s="320">
        <f>U33</f>
        <v>25447</v>
      </c>
      <c r="W33" s="320">
        <f t="shared" si="11"/>
        <v>25447</v>
      </c>
      <c r="X33" s="320">
        <f t="shared" si="11"/>
        <v>25447</v>
      </c>
      <c r="Y33" s="303">
        <f t="shared" si="4"/>
        <v>101788</v>
      </c>
      <c r="Z33" s="282">
        <f t="shared" si="5"/>
        <v>254470</v>
      </c>
    </row>
    <row r="34" spans="1:35" x14ac:dyDescent="0.3">
      <c r="B34" s="253">
        <f t="shared" si="12"/>
        <v>4</v>
      </c>
      <c r="C34" s="253" t="s">
        <v>397</v>
      </c>
      <c r="D34" s="274">
        <f>D53</f>
        <v>1050000</v>
      </c>
      <c r="E34" s="274">
        <v>1</v>
      </c>
      <c r="F34" s="274">
        <v>1</v>
      </c>
      <c r="G34" s="271">
        <v>1</v>
      </c>
      <c r="H34" s="274">
        <f t="shared" si="7"/>
        <v>1050000</v>
      </c>
      <c r="I34" s="274">
        <f>H34/54</f>
        <v>19444.444444444445</v>
      </c>
      <c r="J34" s="533"/>
      <c r="K34" s="304"/>
      <c r="L34" s="304"/>
      <c r="M34" s="304">
        <f>I34/10</f>
        <v>1944.4444444444446</v>
      </c>
      <c r="N34" s="304">
        <f>M34</f>
        <v>1944.4444444444446</v>
      </c>
      <c r="O34" s="303">
        <f t="shared" si="2"/>
        <v>3888.8888888888891</v>
      </c>
      <c r="P34" s="319">
        <f>+N34</f>
        <v>1944.4444444444446</v>
      </c>
      <c r="Q34" s="319">
        <f>P34</f>
        <v>1944.4444444444446</v>
      </c>
      <c r="R34" s="319">
        <f t="shared" si="10"/>
        <v>1944.4444444444446</v>
      </c>
      <c r="S34" s="319">
        <f t="shared" si="10"/>
        <v>1944.4444444444446</v>
      </c>
      <c r="T34" s="303">
        <f t="shared" si="3"/>
        <v>7777.7777777777783</v>
      </c>
      <c r="U34" s="320">
        <f>S34</f>
        <v>1944.4444444444446</v>
      </c>
      <c r="V34" s="320">
        <f>U34</f>
        <v>1944.4444444444446</v>
      </c>
      <c r="W34" s="320">
        <f t="shared" si="11"/>
        <v>1944.4444444444446</v>
      </c>
      <c r="X34" s="320">
        <f t="shared" si="11"/>
        <v>1944.4444444444446</v>
      </c>
      <c r="Y34" s="303">
        <f t="shared" si="4"/>
        <v>7777.7777777777783</v>
      </c>
      <c r="Z34" s="282">
        <f t="shared" si="5"/>
        <v>19444.444444444445</v>
      </c>
    </row>
    <row r="35" spans="1:35" x14ac:dyDescent="0.3">
      <c r="B35" s="277"/>
      <c r="C35" s="277" t="s">
        <v>56</v>
      </c>
      <c r="D35" s="286"/>
      <c r="E35" s="286"/>
      <c r="F35" s="286"/>
      <c r="G35" s="326"/>
      <c r="H35" s="286"/>
      <c r="I35" s="286"/>
      <c r="J35" s="533"/>
      <c r="K35" s="286">
        <f>K30+K31+K32+K33+K34</f>
        <v>0</v>
      </c>
      <c r="L35" s="286">
        <f t="shared" ref="L35:Z35" si="13">L30+L31+L32+L33+L34</f>
        <v>0</v>
      </c>
      <c r="M35" s="286">
        <f t="shared" si="13"/>
        <v>89036.814814814818</v>
      </c>
      <c r="N35" s="286">
        <f t="shared" si="13"/>
        <v>89036.814814814818</v>
      </c>
      <c r="O35" s="286">
        <f t="shared" si="13"/>
        <v>178073.62962962964</v>
      </c>
      <c r="P35" s="286">
        <f t="shared" si="13"/>
        <v>89036.814814814818</v>
      </c>
      <c r="Q35" s="286">
        <f t="shared" si="13"/>
        <v>89036.814814814818</v>
      </c>
      <c r="R35" s="286">
        <f t="shared" si="13"/>
        <v>89036.814814814818</v>
      </c>
      <c r="S35" s="286">
        <f t="shared" si="13"/>
        <v>89036.814814814818</v>
      </c>
      <c r="T35" s="286">
        <f t="shared" si="13"/>
        <v>356147.25925925927</v>
      </c>
      <c r="U35" s="286">
        <f t="shared" si="13"/>
        <v>89036.814814814818</v>
      </c>
      <c r="V35" s="286">
        <f t="shared" si="13"/>
        <v>89036.814814814818</v>
      </c>
      <c r="W35" s="286">
        <f t="shared" si="13"/>
        <v>89036.814814814818</v>
      </c>
      <c r="X35" s="286">
        <f t="shared" si="13"/>
        <v>89036.814814814818</v>
      </c>
      <c r="Y35" s="286">
        <f t="shared" si="13"/>
        <v>356147.25925925927</v>
      </c>
      <c r="Z35" s="310">
        <f t="shared" si="13"/>
        <v>890368.14814814832</v>
      </c>
    </row>
    <row r="36" spans="1:35" x14ac:dyDescent="0.3">
      <c r="J36" s="438"/>
    </row>
    <row r="37" spans="1:35" x14ac:dyDescent="0.3">
      <c r="J37" s="438"/>
    </row>
    <row r="38" spans="1:35" x14ac:dyDescent="0.3">
      <c r="B38" s="253"/>
      <c r="C38" s="253" t="s">
        <v>59</v>
      </c>
      <c r="D38" s="253"/>
      <c r="E38" s="253"/>
      <c r="F38" s="253"/>
      <c r="G38" s="253"/>
      <c r="H38" s="253"/>
      <c r="I38" s="253"/>
      <c r="J38" s="53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69"/>
    </row>
    <row r="39" spans="1:35" x14ac:dyDescent="0.3">
      <c r="B39" s="253"/>
      <c r="C39" s="253"/>
      <c r="D39" s="253"/>
      <c r="E39" s="253"/>
      <c r="F39" s="253"/>
      <c r="G39" s="253"/>
      <c r="H39" s="253"/>
      <c r="I39" s="253"/>
      <c r="J39" s="533"/>
      <c r="K39" s="753" t="s">
        <v>26</v>
      </c>
      <c r="L39" s="754"/>
      <c r="M39" s="754"/>
      <c r="N39" s="755"/>
      <c r="O39" s="303" t="s">
        <v>26</v>
      </c>
      <c r="P39" s="303" t="s">
        <v>27</v>
      </c>
      <c r="Q39" s="303"/>
      <c r="R39" s="303"/>
      <c r="S39" s="303"/>
      <c r="T39" s="303" t="s">
        <v>27</v>
      </c>
      <c r="U39" s="303" t="s">
        <v>28</v>
      </c>
      <c r="V39" s="303"/>
      <c r="W39" s="303"/>
      <c r="X39" s="303"/>
      <c r="Y39" s="303" t="s">
        <v>28</v>
      </c>
      <c r="Z39" s="282" t="s">
        <v>19</v>
      </c>
    </row>
    <row r="40" spans="1:35" x14ac:dyDescent="0.3">
      <c r="B40" s="253"/>
      <c r="C40" s="253"/>
      <c r="D40" s="253"/>
      <c r="E40" s="253"/>
      <c r="F40" s="253"/>
      <c r="G40" s="253"/>
      <c r="H40" s="253"/>
      <c r="I40" s="253"/>
      <c r="J40" s="533"/>
      <c r="K40" s="316" t="s">
        <v>36</v>
      </c>
      <c r="L40" s="316" t="s">
        <v>37</v>
      </c>
      <c r="M40" s="316" t="s">
        <v>38</v>
      </c>
      <c r="N40" s="316" t="s">
        <v>39</v>
      </c>
      <c r="O40" s="303" t="s">
        <v>9</v>
      </c>
      <c r="P40" s="303" t="s">
        <v>36</v>
      </c>
      <c r="Q40" s="303" t="s">
        <v>37</v>
      </c>
      <c r="R40" s="303" t="s">
        <v>38</v>
      </c>
      <c r="S40" s="303" t="s">
        <v>39</v>
      </c>
      <c r="T40" s="303" t="s">
        <v>9</v>
      </c>
      <c r="U40" s="303" t="s">
        <v>36</v>
      </c>
      <c r="V40" s="303" t="s">
        <v>37</v>
      </c>
      <c r="W40" s="303" t="s">
        <v>38</v>
      </c>
      <c r="X40" s="303" t="s">
        <v>39</v>
      </c>
      <c r="Y40" s="303" t="s">
        <v>9</v>
      </c>
      <c r="Z40" s="282"/>
    </row>
    <row r="41" spans="1:35" x14ac:dyDescent="0.3">
      <c r="B41" s="253" t="s">
        <v>391</v>
      </c>
      <c r="C41" s="253" t="str">
        <f>C3</f>
        <v>Development and Designing HERMES or similar dyanamic computer simulation model for vaccine supply chain</v>
      </c>
      <c r="D41" s="253"/>
      <c r="E41" s="253"/>
      <c r="F41" s="253"/>
      <c r="G41" s="253"/>
      <c r="H41" s="253"/>
      <c r="I41" s="253"/>
      <c r="J41" s="533"/>
      <c r="K41" s="317">
        <f t="shared" ref="K41:Z41" si="14">K28</f>
        <v>3703.7037037037039</v>
      </c>
      <c r="L41" s="317">
        <f t="shared" si="14"/>
        <v>648148.1481481482</v>
      </c>
      <c r="M41" s="317">
        <f t="shared" si="14"/>
        <v>0</v>
      </c>
      <c r="N41" s="317">
        <f t="shared" si="14"/>
        <v>0</v>
      </c>
      <c r="O41" s="303">
        <f t="shared" si="14"/>
        <v>651851.85185185191</v>
      </c>
      <c r="P41" s="303">
        <f t="shared" si="14"/>
        <v>0</v>
      </c>
      <c r="Q41" s="303">
        <f t="shared" si="14"/>
        <v>0</v>
      </c>
      <c r="R41" s="303">
        <f t="shared" si="14"/>
        <v>0</v>
      </c>
      <c r="S41" s="303">
        <f t="shared" si="14"/>
        <v>0</v>
      </c>
      <c r="T41" s="303">
        <f t="shared" si="14"/>
        <v>0</v>
      </c>
      <c r="U41" s="303">
        <f t="shared" si="14"/>
        <v>0</v>
      </c>
      <c r="V41" s="303">
        <f t="shared" si="14"/>
        <v>0</v>
      </c>
      <c r="W41" s="303">
        <f t="shared" si="14"/>
        <v>0</v>
      </c>
      <c r="X41" s="303">
        <f t="shared" si="14"/>
        <v>0</v>
      </c>
      <c r="Y41" s="303">
        <f t="shared" si="14"/>
        <v>0</v>
      </c>
      <c r="Z41" s="282">
        <f t="shared" si="14"/>
        <v>651851.85185185191</v>
      </c>
    </row>
    <row r="42" spans="1:35" x14ac:dyDescent="0.3">
      <c r="B42" s="253" t="s">
        <v>392</v>
      </c>
      <c r="C42" s="253" t="str">
        <f>C4</f>
        <v>Scale up use of the model based strategy development approaches such as HERMES in seven focus states</v>
      </c>
      <c r="D42" s="253"/>
      <c r="E42" s="253"/>
      <c r="F42" s="253"/>
      <c r="G42" s="253"/>
      <c r="H42" s="253"/>
      <c r="I42" s="253"/>
      <c r="J42" s="533"/>
      <c r="K42" s="317">
        <f t="shared" ref="K42:Z42" si="15">K35</f>
        <v>0</v>
      </c>
      <c r="L42" s="317">
        <f t="shared" si="15"/>
        <v>0</v>
      </c>
      <c r="M42" s="317">
        <f t="shared" si="15"/>
        <v>89036.814814814818</v>
      </c>
      <c r="N42" s="317">
        <f t="shared" si="15"/>
        <v>89036.814814814818</v>
      </c>
      <c r="O42" s="303">
        <f t="shared" si="15"/>
        <v>178073.62962962964</v>
      </c>
      <c r="P42" s="303">
        <f t="shared" si="15"/>
        <v>89036.814814814818</v>
      </c>
      <c r="Q42" s="303">
        <f t="shared" si="15"/>
        <v>89036.814814814818</v>
      </c>
      <c r="R42" s="303">
        <f t="shared" si="15"/>
        <v>89036.814814814818</v>
      </c>
      <c r="S42" s="303">
        <f t="shared" si="15"/>
        <v>89036.814814814818</v>
      </c>
      <c r="T42" s="303">
        <f t="shared" si="15"/>
        <v>356147.25925925927</v>
      </c>
      <c r="U42" s="303">
        <f t="shared" si="15"/>
        <v>89036.814814814818</v>
      </c>
      <c r="V42" s="303">
        <f t="shared" si="15"/>
        <v>89036.814814814818</v>
      </c>
      <c r="W42" s="303">
        <f t="shared" si="15"/>
        <v>89036.814814814818</v>
      </c>
      <c r="X42" s="303">
        <f t="shared" si="15"/>
        <v>89036.814814814818</v>
      </c>
      <c r="Y42" s="303">
        <f t="shared" si="15"/>
        <v>356147.25925925927</v>
      </c>
      <c r="Z42" s="282">
        <f t="shared" si="15"/>
        <v>890368.14814814832</v>
      </c>
    </row>
    <row r="43" spans="1:35" x14ac:dyDescent="0.3">
      <c r="B43" s="253"/>
      <c r="C43" s="291" t="s">
        <v>59</v>
      </c>
      <c r="D43" s="291"/>
      <c r="E43" s="291"/>
      <c r="F43" s="291"/>
      <c r="G43" s="291"/>
      <c r="H43" s="291"/>
      <c r="I43" s="291"/>
      <c r="J43" s="534"/>
      <c r="K43" s="292">
        <f>K41+K42</f>
        <v>3703.7037037037039</v>
      </c>
      <c r="L43" s="292">
        <f t="shared" ref="L43:Z43" si="16">L41+L42</f>
        <v>648148.1481481482</v>
      </c>
      <c r="M43" s="292">
        <f t="shared" si="16"/>
        <v>89036.814814814818</v>
      </c>
      <c r="N43" s="292">
        <f t="shared" si="16"/>
        <v>89036.814814814818</v>
      </c>
      <c r="O43" s="292">
        <f t="shared" si="16"/>
        <v>829925.48148148158</v>
      </c>
      <c r="P43" s="292">
        <f t="shared" si="16"/>
        <v>89036.814814814818</v>
      </c>
      <c r="Q43" s="292">
        <f t="shared" si="16"/>
        <v>89036.814814814818</v>
      </c>
      <c r="R43" s="292">
        <f t="shared" si="16"/>
        <v>89036.814814814818</v>
      </c>
      <c r="S43" s="292">
        <f t="shared" si="16"/>
        <v>89036.814814814818</v>
      </c>
      <c r="T43" s="292">
        <f t="shared" si="16"/>
        <v>356147.25925925927</v>
      </c>
      <c r="U43" s="292">
        <f t="shared" si="16"/>
        <v>89036.814814814818</v>
      </c>
      <c r="V43" s="292">
        <f t="shared" si="16"/>
        <v>89036.814814814818</v>
      </c>
      <c r="W43" s="292">
        <f t="shared" si="16"/>
        <v>89036.814814814818</v>
      </c>
      <c r="X43" s="292">
        <f t="shared" si="16"/>
        <v>89036.814814814818</v>
      </c>
      <c r="Y43" s="292">
        <f t="shared" si="16"/>
        <v>356147.25925925927</v>
      </c>
      <c r="Z43" s="292">
        <f t="shared" si="16"/>
        <v>1542220.0000000002</v>
      </c>
    </row>
    <row r="44" spans="1:35" s="300" customFormat="1" x14ac:dyDescent="0.3">
      <c r="A44" s="438"/>
      <c r="B44" s="533"/>
      <c r="C44" s="311"/>
      <c r="D44" s="311"/>
      <c r="E44" s="534"/>
      <c r="F44" s="534"/>
      <c r="G44" s="534"/>
      <c r="H44" s="534"/>
      <c r="I44" s="534"/>
      <c r="J44" s="534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438"/>
      <c r="AB44" s="438"/>
      <c r="AC44" s="438"/>
      <c r="AD44" s="438"/>
      <c r="AE44" s="438"/>
      <c r="AF44" s="438"/>
      <c r="AG44" s="438"/>
      <c r="AH44" s="438"/>
      <c r="AI44" s="438"/>
    </row>
    <row r="45" spans="1:35" x14ac:dyDescent="0.3">
      <c r="B45" s="533"/>
      <c r="C45" s="746" t="s">
        <v>61</v>
      </c>
      <c r="D45" s="746"/>
      <c r="E45" s="746"/>
      <c r="F45" s="746"/>
      <c r="G45" s="746"/>
      <c r="H45" s="746"/>
      <c r="I45" s="746"/>
      <c r="J45" s="746"/>
      <c r="K45" s="746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552"/>
      <c r="AA45" s="438"/>
      <c r="AB45" s="438"/>
      <c r="AC45" s="438"/>
      <c r="AD45" s="438"/>
      <c r="AE45" s="438"/>
      <c r="AF45" s="438"/>
      <c r="AG45" s="438"/>
      <c r="AH45" s="438"/>
      <c r="AI45" s="438"/>
    </row>
    <row r="46" spans="1:35" x14ac:dyDescent="0.3">
      <c r="B46" s="582"/>
      <c r="C46" s="433"/>
      <c r="D46" s="351"/>
      <c r="E46" s="351"/>
      <c r="F46" s="351"/>
      <c r="G46" s="571"/>
      <c r="H46" s="571"/>
      <c r="I46" s="571"/>
      <c r="J46" s="571"/>
      <c r="K46" s="571"/>
      <c r="L46" s="571"/>
      <c r="M46" s="438"/>
    </row>
    <row r="47" spans="1:35" x14ac:dyDescent="0.3">
      <c r="B47" s="583"/>
      <c r="C47" s="578" t="s">
        <v>398</v>
      </c>
      <c r="D47" s="352">
        <v>35000000</v>
      </c>
      <c r="E47" s="571"/>
      <c r="F47" s="571"/>
      <c r="G47" s="571"/>
      <c r="H47" s="571"/>
      <c r="I47" s="571"/>
      <c r="J47" s="571"/>
      <c r="K47" s="571"/>
      <c r="L47" s="571"/>
      <c r="M47" s="438"/>
    </row>
    <row r="48" spans="1:35" x14ac:dyDescent="0.3">
      <c r="B48" s="582"/>
      <c r="C48" s="579"/>
      <c r="D48" s="353"/>
      <c r="E48" s="572"/>
      <c r="F48" s="572"/>
      <c r="G48" s="572"/>
      <c r="H48" s="572"/>
      <c r="I48" s="438"/>
      <c r="J48" s="438"/>
      <c r="K48" s="438"/>
      <c r="L48" s="438"/>
      <c r="M48" s="438"/>
    </row>
    <row r="49" spans="2:12" x14ac:dyDescent="0.3">
      <c r="B49" s="583"/>
      <c r="C49" s="580" t="s">
        <v>133</v>
      </c>
      <c r="D49" s="352"/>
      <c r="E49" s="572"/>
      <c r="F49" s="572"/>
      <c r="G49" s="572"/>
      <c r="H49" s="572"/>
      <c r="I49" s="438"/>
      <c r="J49" s="438"/>
      <c r="K49" s="438"/>
      <c r="L49" s="438"/>
    </row>
    <row r="50" spans="2:12" x14ac:dyDescent="0.3">
      <c r="B50" s="583"/>
      <c r="C50" s="579" t="s">
        <v>399</v>
      </c>
      <c r="D50" s="353">
        <f>K68+K69</f>
        <v>13580000</v>
      </c>
      <c r="E50" s="572"/>
      <c r="F50" s="572"/>
      <c r="G50" s="572"/>
      <c r="H50" s="572"/>
      <c r="I50" s="438"/>
      <c r="J50" s="438"/>
      <c r="K50" s="438"/>
      <c r="L50" s="438"/>
    </row>
    <row r="51" spans="2:12" x14ac:dyDescent="0.3">
      <c r="B51" s="583"/>
      <c r="C51" s="579" t="s">
        <v>400</v>
      </c>
      <c r="D51" s="353">
        <f>K64+K65+K66</f>
        <v>19708500</v>
      </c>
      <c r="E51" s="572"/>
      <c r="F51" s="572"/>
      <c r="G51" s="572"/>
      <c r="H51" s="572"/>
      <c r="I51" s="438"/>
      <c r="J51" s="438"/>
      <c r="K51" s="438"/>
      <c r="L51" s="438"/>
    </row>
    <row r="52" spans="2:12" x14ac:dyDescent="0.3">
      <c r="B52" s="583"/>
      <c r="C52" s="579" t="s">
        <v>396</v>
      </c>
      <c r="D52" s="353">
        <f>K67</f>
        <v>13741380</v>
      </c>
      <c r="E52" s="573"/>
      <c r="F52" s="572"/>
      <c r="G52" s="572"/>
      <c r="H52" s="572"/>
      <c r="I52" s="438"/>
      <c r="J52" s="438"/>
      <c r="K52" s="438"/>
      <c r="L52" s="438"/>
    </row>
    <row r="53" spans="2:12" x14ac:dyDescent="0.3">
      <c r="B53" s="583"/>
      <c r="C53" s="579" t="s">
        <v>401</v>
      </c>
      <c r="D53" s="353">
        <f>K70</f>
        <v>1050000</v>
      </c>
      <c r="E53" s="571"/>
      <c r="F53" s="571"/>
      <c r="G53" s="571"/>
      <c r="H53" s="571"/>
      <c r="I53" s="438"/>
      <c r="J53" s="438"/>
      <c r="K53" s="438"/>
      <c r="L53" s="438"/>
    </row>
    <row r="54" spans="2:12" x14ac:dyDescent="0.3">
      <c r="B54" s="583"/>
      <c r="C54" s="581" t="s">
        <v>9</v>
      </c>
      <c r="D54" s="352">
        <f>D50+D51+D52+D53</f>
        <v>48079880</v>
      </c>
      <c r="E54" s="572"/>
      <c r="F54" s="572"/>
      <c r="G54" s="572"/>
      <c r="H54" s="536"/>
      <c r="I54" s="536"/>
      <c r="J54" s="574"/>
      <c r="K54" s="574"/>
      <c r="L54" s="571"/>
    </row>
    <row r="55" spans="2:12" x14ac:dyDescent="0.3">
      <c r="B55" s="582"/>
      <c r="C55" s="571"/>
      <c r="D55" s="571"/>
      <c r="E55" s="572"/>
      <c r="F55" s="572"/>
      <c r="G55" s="572"/>
      <c r="H55" s="572"/>
      <c r="I55" s="572"/>
      <c r="J55" s="571"/>
      <c r="K55" s="571"/>
      <c r="L55" s="571"/>
    </row>
    <row r="56" spans="2:12" x14ac:dyDescent="0.3">
      <c r="B56" s="576"/>
      <c r="C56" s="571"/>
      <c r="D56" s="571"/>
      <c r="E56" s="571"/>
      <c r="F56" s="571"/>
      <c r="G56" s="571"/>
      <c r="H56" s="571"/>
      <c r="I56" s="571"/>
      <c r="J56" s="571"/>
      <c r="K56" s="571"/>
      <c r="L56" s="571"/>
    </row>
    <row r="57" spans="2:12" x14ac:dyDescent="0.3">
      <c r="B57" s="571"/>
      <c r="C57" s="354" t="s">
        <v>402</v>
      </c>
      <c r="D57" s="354" t="s">
        <v>403</v>
      </c>
      <c r="E57" s="354" t="s">
        <v>404</v>
      </c>
      <c r="F57" s="354" t="s">
        <v>405</v>
      </c>
      <c r="G57" s="354" t="s">
        <v>406</v>
      </c>
      <c r="H57" s="354" t="s">
        <v>407</v>
      </c>
      <c r="I57" s="354" t="s">
        <v>408</v>
      </c>
      <c r="J57" s="354" t="s">
        <v>409</v>
      </c>
      <c r="K57" s="354" t="s">
        <v>410</v>
      </c>
    </row>
    <row r="58" spans="2:12" x14ac:dyDescent="0.3">
      <c r="B58" s="571"/>
      <c r="C58" s="356" t="s">
        <v>411</v>
      </c>
      <c r="D58" s="353">
        <v>72</v>
      </c>
      <c r="E58" s="353">
        <v>38</v>
      </c>
      <c r="F58" s="353">
        <v>24</v>
      </c>
      <c r="G58" s="353">
        <v>50</v>
      </c>
      <c r="H58" s="353">
        <v>33</v>
      </c>
      <c r="I58" s="353">
        <v>27</v>
      </c>
      <c r="J58" s="353">
        <v>26</v>
      </c>
      <c r="K58" s="357">
        <f>SUM(D58:J58)</f>
        <v>270</v>
      </c>
    </row>
    <row r="59" spans="2:12" x14ac:dyDescent="0.3">
      <c r="B59" s="571"/>
      <c r="C59" s="356" t="s">
        <v>412</v>
      </c>
      <c r="D59" s="353">
        <v>1112</v>
      </c>
      <c r="E59" s="353">
        <v>588</v>
      </c>
      <c r="F59" s="353">
        <v>224</v>
      </c>
      <c r="G59" s="353">
        <v>1068</v>
      </c>
      <c r="H59" s="353">
        <v>2010</v>
      </c>
      <c r="I59" s="353">
        <v>529</v>
      </c>
      <c r="J59" s="353">
        <v>1829</v>
      </c>
      <c r="K59" s="357">
        <f>SUM(D59:J59)</f>
        <v>7360</v>
      </c>
    </row>
    <row r="60" spans="2:12" x14ac:dyDescent="0.3">
      <c r="B60" s="571"/>
      <c r="C60" s="358" t="s">
        <v>413</v>
      </c>
      <c r="D60" s="353">
        <v>24</v>
      </c>
      <c r="E60" s="353">
        <v>13</v>
      </c>
      <c r="F60" s="353">
        <v>8</v>
      </c>
      <c r="G60" s="353">
        <v>17</v>
      </c>
      <c r="H60" s="353">
        <v>11</v>
      </c>
      <c r="I60" s="353">
        <v>9</v>
      </c>
      <c r="J60" s="353">
        <v>9</v>
      </c>
      <c r="K60" s="357">
        <f>SUM(D60:J60)</f>
        <v>91</v>
      </c>
    </row>
    <row r="61" spans="2:12" x14ac:dyDescent="0.3">
      <c r="B61" s="571"/>
      <c r="C61" s="358" t="s">
        <v>414</v>
      </c>
      <c r="D61" s="353">
        <v>375</v>
      </c>
      <c r="E61" s="353">
        <v>200</v>
      </c>
      <c r="F61" s="353">
        <v>75</v>
      </c>
      <c r="G61" s="353">
        <v>360</v>
      </c>
      <c r="H61" s="353">
        <v>680</v>
      </c>
      <c r="I61" s="353">
        <v>180</v>
      </c>
      <c r="J61" s="353">
        <v>620</v>
      </c>
      <c r="K61" s="357">
        <f>SUM(D61:J61)</f>
        <v>2490</v>
      </c>
    </row>
    <row r="62" spans="2:12" x14ac:dyDescent="0.3">
      <c r="B62" s="571"/>
      <c r="C62" s="358" t="s">
        <v>415</v>
      </c>
      <c r="D62" s="353">
        <v>12</v>
      </c>
      <c r="E62" s="353">
        <v>7</v>
      </c>
      <c r="F62" s="353">
        <v>4</v>
      </c>
      <c r="G62" s="353">
        <v>9</v>
      </c>
      <c r="H62" s="353">
        <v>10</v>
      </c>
      <c r="I62" s="353">
        <v>5</v>
      </c>
      <c r="J62" s="353">
        <v>9</v>
      </c>
      <c r="K62" s="357">
        <f>SUM(D62:J62)</f>
        <v>56</v>
      </c>
    </row>
    <row r="63" spans="2:12" x14ac:dyDescent="0.3">
      <c r="B63" s="571"/>
      <c r="C63" s="356" t="s">
        <v>416</v>
      </c>
      <c r="D63" s="353" t="s">
        <v>417</v>
      </c>
      <c r="E63" s="353" t="s">
        <v>418</v>
      </c>
      <c r="F63" s="353" t="s">
        <v>419</v>
      </c>
      <c r="G63" s="353" t="s">
        <v>420</v>
      </c>
      <c r="H63" s="353" t="s">
        <v>421</v>
      </c>
      <c r="I63" s="353" t="s">
        <v>418</v>
      </c>
      <c r="J63" s="353" t="s">
        <v>421</v>
      </c>
      <c r="K63" s="357" t="s">
        <v>422</v>
      </c>
    </row>
    <row r="64" spans="2:12" x14ac:dyDescent="0.3">
      <c r="B64" s="571"/>
      <c r="C64" s="356" t="s">
        <v>423</v>
      </c>
      <c r="D64" s="353">
        <f t="shared" ref="D64:J64" si="17">1500*D61+0.1*(D61*1500)</f>
        <v>618750</v>
      </c>
      <c r="E64" s="353">
        <f t="shared" si="17"/>
        <v>330000</v>
      </c>
      <c r="F64" s="353">
        <f t="shared" si="17"/>
        <v>123750</v>
      </c>
      <c r="G64" s="353">
        <f t="shared" si="17"/>
        <v>594000</v>
      </c>
      <c r="H64" s="353">
        <f t="shared" si="17"/>
        <v>1122000</v>
      </c>
      <c r="I64" s="353">
        <f t="shared" si="17"/>
        <v>297000</v>
      </c>
      <c r="J64" s="353">
        <f t="shared" si="17"/>
        <v>1023000</v>
      </c>
      <c r="K64" s="357">
        <f t="shared" ref="K64:K70" si="18">SUM(D64:J64)</f>
        <v>4108500</v>
      </c>
    </row>
    <row r="65" spans="2:12" x14ac:dyDescent="0.3">
      <c r="B65" s="571"/>
      <c r="C65" s="356" t="s">
        <v>424</v>
      </c>
      <c r="D65" s="353">
        <f>1000*30*12</f>
        <v>360000</v>
      </c>
      <c r="E65" s="353">
        <f>1000*30*7</f>
        <v>210000</v>
      </c>
      <c r="F65" s="353">
        <f>1000*30*4</f>
        <v>120000</v>
      </c>
      <c r="G65" s="353">
        <f>1000*30*9</f>
        <v>270000</v>
      </c>
      <c r="H65" s="353">
        <f>1000*30*10</f>
        <v>300000</v>
      </c>
      <c r="I65" s="353">
        <f>1000*30*5</f>
        <v>150000</v>
      </c>
      <c r="J65" s="353">
        <f>1000*30*9</f>
        <v>270000</v>
      </c>
      <c r="K65" s="357">
        <f t="shared" si="18"/>
        <v>1680000</v>
      </c>
    </row>
    <row r="66" spans="2:12" x14ac:dyDescent="0.3">
      <c r="B66" s="571"/>
      <c r="C66" s="356" t="s">
        <v>425</v>
      </c>
      <c r="D66" s="353">
        <f>16*1500*5*12</f>
        <v>1440000</v>
      </c>
      <c r="E66" s="353">
        <f>16*1500*5*6.5</f>
        <v>780000</v>
      </c>
      <c r="F66" s="353">
        <f>10*1500*5*4</f>
        <v>300000</v>
      </c>
      <c r="G66" s="353">
        <f>22*1500*5*9</f>
        <v>1485000</v>
      </c>
      <c r="H66" s="353">
        <f>61*1500*5*10</f>
        <v>4575000</v>
      </c>
      <c r="I66" s="353">
        <f>20*1500*5*5</f>
        <v>750000</v>
      </c>
      <c r="J66" s="353">
        <f>68*1500*5*9</f>
        <v>4590000</v>
      </c>
      <c r="K66" s="357">
        <f t="shared" si="18"/>
        <v>13920000</v>
      </c>
    </row>
    <row r="67" spans="2:12" x14ac:dyDescent="0.3">
      <c r="B67" s="571"/>
      <c r="C67" s="356" t="s">
        <v>396</v>
      </c>
      <c r="D67" s="353">
        <f>50894*D58</f>
        <v>3664368</v>
      </c>
      <c r="E67" s="353">
        <f t="shared" ref="E67:J67" si="19">50894*E58</f>
        <v>1933972</v>
      </c>
      <c r="F67" s="353">
        <f t="shared" si="19"/>
        <v>1221456</v>
      </c>
      <c r="G67" s="353">
        <f t="shared" si="19"/>
        <v>2544700</v>
      </c>
      <c r="H67" s="353">
        <f t="shared" si="19"/>
        <v>1679502</v>
      </c>
      <c r="I67" s="353">
        <f t="shared" si="19"/>
        <v>1374138</v>
      </c>
      <c r="J67" s="353">
        <f t="shared" si="19"/>
        <v>1323244</v>
      </c>
      <c r="K67" s="357">
        <f t="shared" si="18"/>
        <v>13741380</v>
      </c>
    </row>
    <row r="68" spans="2:12" x14ac:dyDescent="0.3">
      <c r="B68" s="571"/>
      <c r="C68" s="356" t="s">
        <v>426</v>
      </c>
      <c r="D68" s="353">
        <f t="shared" ref="D68:J68" si="20">230000*D62</f>
        <v>2760000</v>
      </c>
      <c r="E68" s="353">
        <f t="shared" si="20"/>
        <v>1610000</v>
      </c>
      <c r="F68" s="353">
        <f t="shared" si="20"/>
        <v>920000</v>
      </c>
      <c r="G68" s="353">
        <f t="shared" si="20"/>
        <v>2070000</v>
      </c>
      <c r="H68" s="353">
        <f t="shared" si="20"/>
        <v>2300000</v>
      </c>
      <c r="I68" s="353">
        <f t="shared" si="20"/>
        <v>1150000</v>
      </c>
      <c r="J68" s="353">
        <f t="shared" si="20"/>
        <v>2070000</v>
      </c>
      <c r="K68" s="357">
        <f t="shared" si="18"/>
        <v>12880000</v>
      </c>
    </row>
    <row r="69" spans="2:12" x14ac:dyDescent="0.3">
      <c r="B69" s="571"/>
      <c r="C69" s="356" t="s">
        <v>427</v>
      </c>
      <c r="D69" s="353">
        <f>2*50000</f>
        <v>100000</v>
      </c>
      <c r="E69" s="353">
        <f t="shared" ref="E69:J69" si="21">2*50000</f>
        <v>100000</v>
      </c>
      <c r="F69" s="353">
        <f t="shared" si="21"/>
        <v>100000</v>
      </c>
      <c r="G69" s="353">
        <f t="shared" si="21"/>
        <v>100000</v>
      </c>
      <c r="H69" s="353">
        <f t="shared" si="21"/>
        <v>100000</v>
      </c>
      <c r="I69" s="353">
        <f t="shared" si="21"/>
        <v>100000</v>
      </c>
      <c r="J69" s="353">
        <f t="shared" si="21"/>
        <v>100000</v>
      </c>
      <c r="K69" s="357">
        <f t="shared" si="18"/>
        <v>700000</v>
      </c>
    </row>
    <row r="70" spans="2:12" x14ac:dyDescent="0.3">
      <c r="B70" s="571"/>
      <c r="C70" s="356" t="s">
        <v>428</v>
      </c>
      <c r="D70" s="353">
        <v>150000</v>
      </c>
      <c r="E70" s="353">
        <v>150000</v>
      </c>
      <c r="F70" s="353">
        <v>150000</v>
      </c>
      <c r="G70" s="353">
        <v>150000</v>
      </c>
      <c r="H70" s="353">
        <v>150000</v>
      </c>
      <c r="I70" s="353">
        <v>150000</v>
      </c>
      <c r="J70" s="353">
        <v>150000</v>
      </c>
      <c r="K70" s="357">
        <f t="shared" si="18"/>
        <v>1050000</v>
      </c>
    </row>
    <row r="71" spans="2:12" x14ac:dyDescent="0.3">
      <c r="B71" s="577"/>
      <c r="C71" s="431"/>
      <c r="D71" s="431"/>
      <c r="E71" s="431"/>
      <c r="F71" s="431"/>
      <c r="G71" s="431"/>
      <c r="H71" s="431"/>
      <c r="I71" s="431"/>
      <c r="J71" s="431"/>
      <c r="K71" s="432">
        <f>K64+K65+K66+K67+K68+K69+K70</f>
        <v>48079880</v>
      </c>
      <c r="L71" s="359"/>
    </row>
  </sheetData>
  <mergeCells count="20">
    <mergeCell ref="U22:X22"/>
    <mergeCell ref="B29:I29"/>
    <mergeCell ref="U8:X8"/>
    <mergeCell ref="C10:I10"/>
    <mergeCell ref="C11:I11"/>
    <mergeCell ref="C12:I12"/>
    <mergeCell ref="C13:I13"/>
    <mergeCell ref="C45:K45"/>
    <mergeCell ref="C18:I18"/>
    <mergeCell ref="B7:I7"/>
    <mergeCell ref="K8:N8"/>
    <mergeCell ref="P8:S8"/>
    <mergeCell ref="C15:I15"/>
    <mergeCell ref="C16:I16"/>
    <mergeCell ref="C17:I17"/>
    <mergeCell ref="K39:N39"/>
    <mergeCell ref="C19:I19"/>
    <mergeCell ref="B22:I22"/>
    <mergeCell ref="K22:N22"/>
    <mergeCell ref="P22:S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Z85"/>
  <sheetViews>
    <sheetView zoomScale="90" zoomScaleNormal="90" zoomScalePageLayoutView="90" workbookViewId="0">
      <selection activeCell="B49" sqref="B49:J49"/>
    </sheetView>
  </sheetViews>
  <sheetFormatPr defaultColWidth="8.88671875" defaultRowHeight="14.4" x14ac:dyDescent="0.3"/>
  <cols>
    <col min="1" max="2" width="8.88671875" style="216"/>
    <col min="3" max="3" width="41.44140625" style="216" customWidth="1"/>
    <col min="4" max="4" width="15.44140625" style="216" bestFit="1" customWidth="1"/>
    <col min="5" max="5" width="17.44140625" style="216" bestFit="1" customWidth="1"/>
    <col min="6" max="6" width="18.88671875" style="216" customWidth="1"/>
    <col min="7" max="7" width="17.44140625" style="216" bestFit="1" customWidth="1"/>
    <col min="8" max="8" width="15.44140625" style="216" bestFit="1" customWidth="1"/>
    <col min="9" max="9" width="14.33203125" style="216" customWidth="1"/>
    <col min="10" max="10" width="13" style="216" bestFit="1" customWidth="1"/>
    <col min="11" max="15" width="17.88671875" style="216" customWidth="1"/>
    <col min="16" max="19" width="17.88671875" style="216" hidden="1" customWidth="1"/>
    <col min="20" max="20" width="17.88671875" style="216" customWidth="1"/>
    <col min="21" max="24" width="17.88671875" style="216" hidden="1" customWidth="1"/>
    <col min="25" max="25" width="17.88671875" style="216" customWidth="1"/>
    <col min="26" max="26" width="20.44140625" style="216" bestFit="1" customWidth="1"/>
    <col min="27" max="16384" width="8.88671875" style="216"/>
  </cols>
  <sheetData>
    <row r="2" spans="2:26" s="225" customFormat="1" ht="48.9" customHeight="1" x14ac:dyDescent="0.3">
      <c r="B2" s="223">
        <v>4.3</v>
      </c>
      <c r="C2" s="244" t="s">
        <v>535</v>
      </c>
      <c r="D2" s="226" t="s">
        <v>26</v>
      </c>
      <c r="E2" s="226" t="s">
        <v>27</v>
      </c>
      <c r="F2" s="226" t="s">
        <v>28</v>
      </c>
      <c r="G2" s="226" t="s">
        <v>9</v>
      </c>
    </row>
    <row r="3" spans="2:26" s="225" customFormat="1" x14ac:dyDescent="0.3">
      <c r="B3" s="223" t="s">
        <v>429</v>
      </c>
      <c r="C3" s="523" t="s">
        <v>494</v>
      </c>
      <c r="D3" s="246">
        <f>O31</f>
        <v>185000</v>
      </c>
      <c r="E3" s="246">
        <f>T31</f>
        <v>113333.33333333334</v>
      </c>
      <c r="F3" s="246">
        <f>Y31</f>
        <v>118222.22222222222</v>
      </c>
      <c r="G3" s="246">
        <f>D3+E3+F3</f>
        <v>416555.55555555562</v>
      </c>
    </row>
    <row r="4" spans="2:26" s="225" customFormat="1" x14ac:dyDescent="0.3">
      <c r="B4" s="223" t="s">
        <v>430</v>
      </c>
      <c r="C4" s="245" t="s">
        <v>315</v>
      </c>
      <c r="D4" s="246">
        <f>O39</f>
        <v>673148.14814814809</v>
      </c>
      <c r="E4" s="246">
        <f>T39</f>
        <v>1967592.5925925928</v>
      </c>
      <c r="F4" s="246">
        <f>Y39</f>
        <v>1319444.4444444447</v>
      </c>
      <c r="G4" s="246">
        <f t="shared" ref="G4" si="0">D4+E4+F4</f>
        <v>3960185.1851851856</v>
      </c>
    </row>
    <row r="5" spans="2:26" s="225" customFormat="1" x14ac:dyDescent="0.3">
      <c r="B5" s="223"/>
      <c r="C5" s="247" t="s">
        <v>10</v>
      </c>
      <c r="D5" s="248">
        <f>D3+D4</f>
        <v>858148.14814814809</v>
      </c>
      <c r="E5" s="248">
        <f t="shared" ref="E5:G5" si="1">E3+E4</f>
        <v>2080925.9259259261</v>
      </c>
      <c r="F5" s="248">
        <f t="shared" si="1"/>
        <v>1437666.666666667</v>
      </c>
      <c r="G5" s="248">
        <f t="shared" si="1"/>
        <v>4376740.7407407416</v>
      </c>
    </row>
    <row r="7" spans="2:26" x14ac:dyDescent="0.3">
      <c r="B7" s="685" t="s">
        <v>34</v>
      </c>
      <c r="C7" s="686"/>
      <c r="D7" s="686"/>
      <c r="E7" s="686"/>
      <c r="F7" s="686"/>
      <c r="G7" s="686"/>
      <c r="H7" s="686"/>
      <c r="I7" s="686"/>
    </row>
    <row r="8" spans="2:26" x14ac:dyDescent="0.3">
      <c r="B8" s="253"/>
      <c r="C8" s="253"/>
      <c r="D8" s="253"/>
      <c r="E8" s="253"/>
      <c r="F8" s="253"/>
      <c r="G8" s="253"/>
      <c r="H8" s="253"/>
      <c r="I8" s="253"/>
      <c r="J8" s="254"/>
      <c r="K8" s="718" t="s">
        <v>26</v>
      </c>
      <c r="L8" s="718"/>
      <c r="M8" s="718"/>
      <c r="N8" s="718"/>
      <c r="O8" s="303" t="s">
        <v>26</v>
      </c>
      <c r="P8" s="756" t="s">
        <v>27</v>
      </c>
      <c r="Q8" s="756"/>
      <c r="R8" s="756"/>
      <c r="S8" s="756"/>
      <c r="T8" s="303" t="s">
        <v>27</v>
      </c>
      <c r="U8" s="757" t="s">
        <v>28</v>
      </c>
      <c r="V8" s="757"/>
      <c r="W8" s="757"/>
      <c r="X8" s="757"/>
      <c r="Y8" s="303" t="s">
        <v>28</v>
      </c>
      <c r="Z8" s="282"/>
    </row>
    <row r="9" spans="2:26" x14ac:dyDescent="0.3">
      <c r="B9" s="253"/>
      <c r="C9" s="253" t="s">
        <v>35</v>
      </c>
      <c r="D9" s="253"/>
      <c r="E9" s="253"/>
      <c r="F9" s="253"/>
      <c r="G9" s="253"/>
      <c r="H9" s="253"/>
      <c r="I9" s="253"/>
      <c r="J9" s="254"/>
      <c r="K9" s="304" t="s">
        <v>36</v>
      </c>
      <c r="L9" s="304" t="s">
        <v>37</v>
      </c>
      <c r="M9" s="304" t="s">
        <v>38</v>
      </c>
      <c r="N9" s="304" t="s">
        <v>39</v>
      </c>
      <c r="O9" s="303" t="s">
        <v>9</v>
      </c>
      <c r="P9" s="305" t="s">
        <v>36</v>
      </c>
      <c r="Q9" s="305" t="s">
        <v>37</v>
      </c>
      <c r="R9" s="305" t="s">
        <v>38</v>
      </c>
      <c r="S9" s="305" t="s">
        <v>39</v>
      </c>
      <c r="T9" s="303" t="s">
        <v>9</v>
      </c>
      <c r="U9" s="306" t="s">
        <v>36</v>
      </c>
      <c r="V9" s="306" t="s">
        <v>37</v>
      </c>
      <c r="W9" s="306" t="s">
        <v>38</v>
      </c>
      <c r="X9" s="306" t="s">
        <v>39</v>
      </c>
      <c r="Y9" s="303" t="s">
        <v>9</v>
      </c>
      <c r="Z9" s="282" t="s">
        <v>19</v>
      </c>
    </row>
    <row r="10" spans="2:26" ht="18.75" customHeight="1" x14ac:dyDescent="0.3">
      <c r="B10" s="253" t="s">
        <v>429</v>
      </c>
      <c r="C10" s="732" t="str">
        <f>C3</f>
        <v>Setup a research network</v>
      </c>
      <c r="D10" s="733"/>
      <c r="E10" s="733"/>
      <c r="F10" s="733"/>
      <c r="G10" s="733"/>
      <c r="H10" s="733"/>
      <c r="I10" s="734"/>
      <c r="J10" s="254"/>
      <c r="K10" s="304"/>
      <c r="L10" s="304"/>
      <c r="M10" s="304"/>
      <c r="N10" s="304"/>
      <c r="O10" s="303"/>
      <c r="P10" s="305"/>
      <c r="Q10" s="305"/>
      <c r="R10" s="305"/>
      <c r="S10" s="305"/>
      <c r="T10" s="303"/>
      <c r="U10" s="306"/>
      <c r="V10" s="306"/>
      <c r="W10" s="306"/>
      <c r="X10" s="306"/>
      <c r="Y10" s="303"/>
      <c r="Z10" s="282"/>
    </row>
    <row r="11" spans="2:26" x14ac:dyDescent="0.3">
      <c r="B11" s="253">
        <v>1</v>
      </c>
      <c r="C11" s="682" t="s">
        <v>321</v>
      </c>
      <c r="D11" s="683"/>
      <c r="E11" s="683"/>
      <c r="F11" s="683"/>
      <c r="G11" s="683"/>
      <c r="H11" s="683"/>
      <c r="I11" s="684"/>
      <c r="J11" s="254"/>
      <c r="K11" s="304" t="s">
        <v>143</v>
      </c>
      <c r="L11" s="304"/>
      <c r="M11" s="304"/>
      <c r="N11" s="304"/>
      <c r="O11" s="303"/>
      <c r="P11" s="305"/>
      <c r="Q11" s="305"/>
      <c r="R11" s="305"/>
      <c r="S11" s="305"/>
      <c r="T11" s="303"/>
      <c r="U11" s="306"/>
      <c r="V11" s="306"/>
      <c r="W11" s="306"/>
      <c r="X11" s="306"/>
      <c r="Y11" s="303"/>
      <c r="Z11" s="282"/>
    </row>
    <row r="12" spans="2:26" x14ac:dyDescent="0.3">
      <c r="B12" s="253">
        <v>2</v>
      </c>
      <c r="C12" s="682" t="s">
        <v>431</v>
      </c>
      <c r="D12" s="683"/>
      <c r="E12" s="683"/>
      <c r="F12" s="683"/>
      <c r="G12" s="683"/>
      <c r="H12" s="683"/>
      <c r="I12" s="684"/>
      <c r="J12" s="254"/>
      <c r="K12" s="304" t="s">
        <v>143</v>
      </c>
      <c r="L12" s="304"/>
      <c r="M12" s="304"/>
      <c r="N12" s="304"/>
      <c r="O12" s="303"/>
      <c r="P12" s="305"/>
      <c r="Q12" s="305"/>
      <c r="R12" s="305"/>
      <c r="S12" s="305"/>
      <c r="T12" s="303"/>
      <c r="U12" s="306"/>
      <c r="V12" s="306"/>
      <c r="W12" s="306"/>
      <c r="X12" s="306"/>
      <c r="Y12" s="303"/>
      <c r="Z12" s="282"/>
    </row>
    <row r="13" spans="2:26" x14ac:dyDescent="0.3">
      <c r="B13" s="253">
        <v>3</v>
      </c>
      <c r="C13" s="682" t="s">
        <v>432</v>
      </c>
      <c r="D13" s="683"/>
      <c r="E13" s="683"/>
      <c r="F13" s="683"/>
      <c r="G13" s="683"/>
      <c r="H13" s="683"/>
      <c r="I13" s="684"/>
      <c r="J13" s="254"/>
      <c r="K13" s="304"/>
      <c r="L13" s="304"/>
      <c r="M13" s="304">
        <v>1</v>
      </c>
      <c r="N13" s="304"/>
      <c r="O13" s="303"/>
      <c r="P13" s="305">
        <v>1</v>
      </c>
      <c r="Q13" s="305"/>
      <c r="R13" s="305">
        <v>1</v>
      </c>
      <c r="S13" s="305"/>
      <c r="T13" s="303"/>
      <c r="U13" s="306">
        <v>1</v>
      </c>
      <c r="V13" s="306"/>
      <c r="W13" s="306">
        <v>1</v>
      </c>
      <c r="X13" s="306"/>
      <c r="Y13" s="303"/>
      <c r="Z13" s="282"/>
    </row>
    <row r="14" spans="2:26" x14ac:dyDescent="0.3">
      <c r="B14" s="253">
        <v>4</v>
      </c>
      <c r="C14" s="682" t="s">
        <v>433</v>
      </c>
      <c r="D14" s="683"/>
      <c r="E14" s="683"/>
      <c r="F14" s="683"/>
      <c r="G14" s="683"/>
      <c r="H14" s="683"/>
      <c r="I14" s="684"/>
      <c r="J14" s="254"/>
      <c r="K14" s="304"/>
      <c r="L14" s="304" t="s">
        <v>143</v>
      </c>
      <c r="M14" s="304" t="s">
        <v>143</v>
      </c>
      <c r="N14" s="304" t="s">
        <v>143</v>
      </c>
      <c r="O14" s="303"/>
      <c r="P14" s="305" t="s">
        <v>143</v>
      </c>
      <c r="Q14" s="305" t="s">
        <v>143</v>
      </c>
      <c r="R14" s="305" t="s">
        <v>143</v>
      </c>
      <c r="S14" s="305" t="s">
        <v>143</v>
      </c>
      <c r="T14" s="303"/>
      <c r="U14" s="306" t="s">
        <v>143</v>
      </c>
      <c r="V14" s="306" t="s">
        <v>143</v>
      </c>
      <c r="W14" s="306" t="s">
        <v>143</v>
      </c>
      <c r="X14" s="306" t="s">
        <v>143</v>
      </c>
      <c r="Y14" s="303"/>
      <c r="Z14" s="282"/>
    </row>
    <row r="15" spans="2:26" s="300" customFormat="1" x14ac:dyDescent="0.3">
      <c r="B15" s="263"/>
      <c r="C15" s="263"/>
      <c r="D15" s="263"/>
      <c r="E15" s="263"/>
      <c r="F15" s="263"/>
      <c r="G15" s="263"/>
      <c r="H15" s="263"/>
      <c r="I15" s="263"/>
      <c r="J15" s="215"/>
      <c r="K15" s="313"/>
      <c r="L15" s="313"/>
      <c r="M15" s="313"/>
      <c r="N15" s="313"/>
      <c r="O15" s="314"/>
      <c r="P15" s="312"/>
      <c r="Q15" s="312"/>
      <c r="R15" s="312"/>
      <c r="S15" s="312"/>
      <c r="T15" s="314"/>
      <c r="U15" s="312"/>
      <c r="V15" s="312"/>
      <c r="W15" s="312"/>
      <c r="X15" s="312"/>
      <c r="Y15" s="314"/>
      <c r="Z15" s="312"/>
    </row>
    <row r="16" spans="2:26" ht="23.25" customHeight="1" x14ac:dyDescent="0.3">
      <c r="B16" s="253" t="s">
        <v>430</v>
      </c>
      <c r="C16" s="750" t="str">
        <f>C4</f>
        <v>Support research studes on vaccines</v>
      </c>
      <c r="D16" s="751"/>
      <c r="E16" s="751"/>
      <c r="F16" s="751"/>
      <c r="G16" s="751"/>
      <c r="H16" s="751"/>
      <c r="I16" s="752"/>
      <c r="J16" s="254"/>
      <c r="K16" s="304"/>
      <c r="L16" s="304"/>
      <c r="M16" s="304"/>
      <c r="N16" s="304"/>
      <c r="O16" s="303"/>
      <c r="P16" s="305"/>
      <c r="Q16" s="305"/>
      <c r="R16" s="305"/>
      <c r="S16" s="305"/>
      <c r="T16" s="303"/>
      <c r="U16" s="306"/>
      <c r="V16" s="306"/>
      <c r="W16" s="306"/>
      <c r="X16" s="306"/>
      <c r="Y16" s="303"/>
      <c r="Z16" s="282"/>
    </row>
    <row r="17" spans="2:26" x14ac:dyDescent="0.3">
      <c r="B17" s="253">
        <v>1</v>
      </c>
      <c r="C17" s="682" t="s">
        <v>434</v>
      </c>
      <c r="D17" s="683"/>
      <c r="E17" s="683"/>
      <c r="F17" s="683"/>
      <c r="G17" s="683"/>
      <c r="H17" s="683"/>
      <c r="I17" s="684"/>
      <c r="J17" s="254"/>
      <c r="K17" s="304" t="s">
        <v>143</v>
      </c>
      <c r="L17" s="304"/>
      <c r="M17" s="304"/>
      <c r="N17" s="304"/>
      <c r="O17" s="303"/>
      <c r="P17" s="305"/>
      <c r="Q17" s="305"/>
      <c r="R17" s="305"/>
      <c r="S17" s="305"/>
      <c r="T17" s="303"/>
      <c r="U17" s="306"/>
      <c r="V17" s="306"/>
      <c r="W17" s="306"/>
      <c r="X17" s="306"/>
      <c r="Y17" s="303"/>
      <c r="Z17" s="282"/>
    </row>
    <row r="18" spans="2:26" x14ac:dyDescent="0.3">
      <c r="B18" s="253">
        <v>2</v>
      </c>
      <c r="C18" s="682" t="s">
        <v>435</v>
      </c>
      <c r="D18" s="683"/>
      <c r="E18" s="683"/>
      <c r="F18" s="683"/>
      <c r="G18" s="683"/>
      <c r="H18" s="683"/>
      <c r="I18" s="684"/>
      <c r="J18" s="254"/>
      <c r="K18" s="304"/>
      <c r="L18" s="304"/>
      <c r="M18" s="304"/>
      <c r="N18" s="304"/>
      <c r="O18" s="303"/>
      <c r="P18" s="305"/>
      <c r="Q18" s="305"/>
      <c r="R18" s="305"/>
      <c r="S18" s="305"/>
      <c r="T18" s="303"/>
      <c r="U18" s="306"/>
      <c r="V18" s="306"/>
      <c r="W18" s="306"/>
      <c r="X18" s="306"/>
      <c r="Y18" s="303"/>
      <c r="Z18" s="282"/>
    </row>
    <row r="19" spans="2:26" x14ac:dyDescent="0.3">
      <c r="B19" s="253">
        <v>3</v>
      </c>
      <c r="C19" s="682" t="s">
        <v>436</v>
      </c>
      <c r="D19" s="683"/>
      <c r="E19" s="683"/>
      <c r="F19" s="683"/>
      <c r="G19" s="683"/>
      <c r="H19" s="683"/>
      <c r="I19" s="684"/>
      <c r="J19" s="254"/>
      <c r="K19" s="304"/>
      <c r="L19" s="304"/>
      <c r="M19" s="304">
        <v>1</v>
      </c>
      <c r="N19" s="304"/>
      <c r="O19" s="303"/>
      <c r="P19" s="305">
        <v>1</v>
      </c>
      <c r="Q19" s="305">
        <v>1</v>
      </c>
      <c r="R19" s="305">
        <v>1</v>
      </c>
      <c r="S19" s="305"/>
      <c r="T19" s="303"/>
      <c r="U19" s="306">
        <v>1</v>
      </c>
      <c r="V19" s="306"/>
      <c r="W19" s="306">
        <v>1</v>
      </c>
      <c r="X19" s="306"/>
      <c r="Y19" s="303"/>
      <c r="Z19" s="282"/>
    </row>
    <row r="20" spans="2:26" x14ac:dyDescent="0.3">
      <c r="B20" s="253">
        <v>4</v>
      </c>
      <c r="C20" s="682" t="s">
        <v>342</v>
      </c>
      <c r="D20" s="683"/>
      <c r="E20" s="683"/>
      <c r="F20" s="683"/>
      <c r="G20" s="683"/>
      <c r="H20" s="683"/>
      <c r="I20" s="684"/>
      <c r="J20" s="254"/>
      <c r="K20" s="304"/>
      <c r="L20" s="304"/>
      <c r="M20" s="304"/>
      <c r="N20" s="304">
        <v>1</v>
      </c>
      <c r="O20" s="303"/>
      <c r="P20" s="305"/>
      <c r="Q20" s="305"/>
      <c r="R20" s="305"/>
      <c r="S20" s="305">
        <v>1</v>
      </c>
      <c r="T20" s="303"/>
      <c r="U20" s="306"/>
      <c r="V20" s="306"/>
      <c r="W20" s="306"/>
      <c r="X20" s="306">
        <v>1</v>
      </c>
      <c r="Y20" s="303"/>
      <c r="Z20" s="282"/>
    </row>
    <row r="21" spans="2:26" x14ac:dyDescent="0.3">
      <c r="B21" s="253">
        <v>5</v>
      </c>
      <c r="C21" s="758" t="s">
        <v>343</v>
      </c>
      <c r="D21" s="759"/>
      <c r="E21" s="759"/>
      <c r="F21" s="759"/>
      <c r="G21" s="759"/>
      <c r="H21" s="759"/>
      <c r="I21" s="760"/>
      <c r="K21" s="304"/>
      <c r="L21" s="304"/>
      <c r="M21" s="304"/>
      <c r="N21" s="304">
        <v>1</v>
      </c>
      <c r="O21" s="303"/>
      <c r="P21" s="305"/>
      <c r="Q21" s="305"/>
      <c r="R21" s="305"/>
      <c r="S21" s="305">
        <v>1</v>
      </c>
      <c r="T21" s="303"/>
      <c r="U21" s="306"/>
      <c r="V21" s="306"/>
      <c r="W21" s="306"/>
      <c r="X21" s="306">
        <v>1</v>
      </c>
      <c r="Y21" s="303"/>
      <c r="Z21" s="282"/>
    </row>
    <row r="22" spans="2:26" x14ac:dyDescent="0.3"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</row>
    <row r="23" spans="2:26" x14ac:dyDescent="0.3">
      <c r="C23" s="324" t="s">
        <v>381</v>
      </c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2:26" x14ac:dyDescent="0.3">
      <c r="B24" s="699" t="str">
        <f>C10</f>
        <v>Setup a research network</v>
      </c>
      <c r="C24" s="700"/>
      <c r="D24" s="700"/>
      <c r="E24" s="700"/>
      <c r="F24" s="700"/>
      <c r="G24" s="700"/>
      <c r="H24" s="700"/>
      <c r="I24" s="701"/>
      <c r="J24" s="254"/>
      <c r="K24" s="718" t="s">
        <v>26</v>
      </c>
      <c r="L24" s="718"/>
      <c r="M24" s="718"/>
      <c r="N24" s="718"/>
      <c r="O24" s="301" t="str">
        <f>O8</f>
        <v>Year 1</v>
      </c>
      <c r="P24" s="723" t="s">
        <v>27</v>
      </c>
      <c r="Q24" s="724"/>
      <c r="R24" s="724"/>
      <c r="S24" s="725"/>
      <c r="T24" s="302" t="str">
        <f>T8</f>
        <v>Year 2</v>
      </c>
      <c r="U24" s="719" t="s">
        <v>28</v>
      </c>
      <c r="V24" s="720"/>
      <c r="W24" s="720"/>
      <c r="X24" s="721"/>
      <c r="Y24" s="303" t="str">
        <f>Y8</f>
        <v>Year 3</v>
      </c>
      <c r="Z24" s="282"/>
    </row>
    <row r="25" spans="2:26" x14ac:dyDescent="0.3">
      <c r="B25" s="253"/>
      <c r="C25" s="253" t="s">
        <v>35</v>
      </c>
      <c r="D25" s="274" t="s">
        <v>50</v>
      </c>
      <c r="E25" s="274" t="s">
        <v>51</v>
      </c>
      <c r="F25" s="274" t="s">
        <v>52</v>
      </c>
      <c r="G25" s="274" t="s">
        <v>53</v>
      </c>
      <c r="H25" s="274" t="s">
        <v>54</v>
      </c>
      <c r="I25" s="274" t="s">
        <v>55</v>
      </c>
      <c r="J25" s="254"/>
      <c r="K25" s="304" t="s">
        <v>36</v>
      </c>
      <c r="L25" s="304" t="s">
        <v>37</v>
      </c>
      <c r="M25" s="304" t="s">
        <v>38</v>
      </c>
      <c r="N25" s="304" t="s">
        <v>39</v>
      </c>
      <c r="O25" s="303" t="s">
        <v>9</v>
      </c>
      <c r="P25" s="305" t="s">
        <v>36</v>
      </c>
      <c r="Q25" s="305" t="s">
        <v>37</v>
      </c>
      <c r="R25" s="305" t="s">
        <v>38</v>
      </c>
      <c r="S25" s="305" t="s">
        <v>39</v>
      </c>
      <c r="T25" s="303" t="s">
        <v>9</v>
      </c>
      <c r="U25" s="306" t="s">
        <v>36</v>
      </c>
      <c r="V25" s="306" t="s">
        <v>37</v>
      </c>
      <c r="W25" s="306" t="s">
        <v>38</v>
      </c>
      <c r="X25" s="306" t="s">
        <v>39</v>
      </c>
      <c r="Y25" s="303" t="s">
        <v>9</v>
      </c>
      <c r="Z25" s="282" t="s">
        <v>19</v>
      </c>
    </row>
    <row r="26" spans="2:26" ht="27.75" customHeight="1" x14ac:dyDescent="0.3">
      <c r="B26" s="253" t="s">
        <v>429</v>
      </c>
      <c r="C26" s="245" t="str">
        <f>C10</f>
        <v>Setup a research network</v>
      </c>
      <c r="D26" s="307"/>
      <c r="E26" s="307"/>
      <c r="F26" s="307"/>
      <c r="G26" s="443">
        <v>1</v>
      </c>
      <c r="H26" s="307">
        <f>D26*E26*F26*G26</f>
        <v>0</v>
      </c>
      <c r="I26" s="307">
        <f>H26/54</f>
        <v>0</v>
      </c>
      <c r="J26" s="254"/>
      <c r="K26" s="304"/>
      <c r="L26" s="304"/>
      <c r="M26" s="304"/>
      <c r="N26" s="304"/>
      <c r="O26" s="303"/>
      <c r="P26" s="305"/>
      <c r="Q26" s="305"/>
      <c r="R26" s="305"/>
      <c r="S26" s="305"/>
      <c r="T26" s="303"/>
      <c r="U26" s="306"/>
      <c r="V26" s="306"/>
      <c r="W26" s="306"/>
      <c r="X26" s="306"/>
      <c r="Y26" s="303"/>
      <c r="Z26" s="282"/>
    </row>
    <row r="27" spans="2:26" x14ac:dyDescent="0.3">
      <c r="B27" s="253">
        <f>B11</f>
        <v>1</v>
      </c>
      <c r="C27" s="253" t="s">
        <v>321</v>
      </c>
      <c r="D27" s="274">
        <v>0</v>
      </c>
      <c r="E27" s="274">
        <v>0</v>
      </c>
      <c r="F27" s="274">
        <v>0</v>
      </c>
      <c r="G27" s="443">
        <v>1</v>
      </c>
      <c r="H27" s="307">
        <f t="shared" ref="H27:H38" si="2">D27*E27*F27*G27</f>
        <v>0</v>
      </c>
      <c r="I27" s="307">
        <f t="shared" ref="I27:I38" si="3">H27/54</f>
        <v>0</v>
      </c>
      <c r="J27" s="254"/>
      <c r="K27" s="304">
        <v>0</v>
      </c>
      <c r="L27" s="304"/>
      <c r="M27" s="304"/>
      <c r="N27" s="304"/>
      <c r="O27" s="303">
        <f t="shared" ref="O27:O38" si="4">K27+L27+M27+N27</f>
        <v>0</v>
      </c>
      <c r="P27" s="305"/>
      <c r="Q27" s="305"/>
      <c r="R27" s="305"/>
      <c r="S27" s="305"/>
      <c r="T27" s="303">
        <f t="shared" ref="T27:T38" si="5">P27+Q27+R27+S27</f>
        <v>0</v>
      </c>
      <c r="U27" s="306"/>
      <c r="V27" s="306"/>
      <c r="W27" s="306"/>
      <c r="X27" s="306"/>
      <c r="Y27" s="303">
        <f t="shared" ref="Y27:Y38" si="6">U27+V27+W27+X27</f>
        <v>0</v>
      </c>
      <c r="Z27" s="282">
        <f>O27+T27+Y27</f>
        <v>0</v>
      </c>
    </row>
    <row r="28" spans="2:26" x14ac:dyDescent="0.3">
      <c r="B28" s="253">
        <f t="shared" ref="B28:B30" si="7">B12</f>
        <v>2</v>
      </c>
      <c r="C28" s="253" t="s">
        <v>431</v>
      </c>
      <c r="D28" s="274">
        <v>0</v>
      </c>
      <c r="E28" s="274">
        <v>0</v>
      </c>
      <c r="F28" s="274">
        <v>0</v>
      </c>
      <c r="G28" s="443">
        <v>1</v>
      </c>
      <c r="H28" s="307">
        <f t="shared" si="2"/>
        <v>0</v>
      </c>
      <c r="I28" s="307">
        <f t="shared" si="3"/>
        <v>0</v>
      </c>
      <c r="J28" s="254"/>
      <c r="K28" s="304">
        <v>0</v>
      </c>
      <c r="L28" s="304"/>
      <c r="M28" s="304"/>
      <c r="N28" s="304"/>
      <c r="O28" s="303">
        <f t="shared" si="4"/>
        <v>0</v>
      </c>
      <c r="P28" s="305"/>
      <c r="Q28" s="305"/>
      <c r="R28" s="305"/>
      <c r="S28" s="305"/>
      <c r="T28" s="303">
        <f t="shared" si="5"/>
        <v>0</v>
      </c>
      <c r="U28" s="306"/>
      <c r="V28" s="306"/>
      <c r="W28" s="306"/>
      <c r="X28" s="306"/>
      <c r="Y28" s="303">
        <f t="shared" si="6"/>
        <v>0</v>
      </c>
      <c r="Z28" s="282">
        <f t="shared" ref="Z28:Z38" si="8">O28+T28+Y28</f>
        <v>0</v>
      </c>
    </row>
    <row r="29" spans="2:26" x14ac:dyDescent="0.3">
      <c r="B29" s="253">
        <f t="shared" si="7"/>
        <v>3</v>
      </c>
      <c r="C29" s="253" t="s">
        <v>432</v>
      </c>
      <c r="D29" s="274">
        <f>I69</f>
        <v>1710000</v>
      </c>
      <c r="E29" s="274">
        <v>1</v>
      </c>
      <c r="F29" s="274">
        <v>1</v>
      </c>
      <c r="G29" s="443">
        <v>1</v>
      </c>
      <c r="H29" s="307">
        <f t="shared" si="2"/>
        <v>1710000</v>
      </c>
      <c r="I29" s="307">
        <f t="shared" si="3"/>
        <v>31666.666666666668</v>
      </c>
      <c r="J29" s="254"/>
      <c r="K29" s="304"/>
      <c r="L29" s="304"/>
      <c r="M29" s="304">
        <f>I29*M13</f>
        <v>31666.666666666668</v>
      </c>
      <c r="N29" s="304"/>
      <c r="O29" s="303">
        <f t="shared" si="4"/>
        <v>31666.666666666668</v>
      </c>
      <c r="P29" s="305">
        <f>I29*P13</f>
        <v>31666.666666666668</v>
      </c>
      <c r="Q29" s="305"/>
      <c r="R29" s="305">
        <f>I29*R13</f>
        <v>31666.666666666668</v>
      </c>
      <c r="S29" s="305"/>
      <c r="T29" s="303">
        <f t="shared" si="5"/>
        <v>63333.333333333336</v>
      </c>
      <c r="U29" s="306">
        <f>I29*U13</f>
        <v>31666.666666666668</v>
      </c>
      <c r="V29" s="306"/>
      <c r="W29" s="306">
        <f>I29*W19</f>
        <v>31666.666666666668</v>
      </c>
      <c r="X29" s="306"/>
      <c r="Y29" s="303">
        <f t="shared" si="6"/>
        <v>63333.333333333336</v>
      </c>
      <c r="Z29" s="282">
        <f t="shared" si="8"/>
        <v>158333.33333333334</v>
      </c>
    </row>
    <row r="30" spans="2:26" x14ac:dyDescent="0.3">
      <c r="B30" s="253">
        <f t="shared" si="7"/>
        <v>4</v>
      </c>
      <c r="C30" s="253" t="s">
        <v>433</v>
      </c>
      <c r="D30" s="274">
        <f>P85*54</f>
        <v>8424000</v>
      </c>
      <c r="E30" s="274">
        <v>1</v>
      </c>
      <c r="F30" s="274">
        <v>1</v>
      </c>
      <c r="G30" s="443">
        <v>1</v>
      </c>
      <c r="H30" s="307">
        <f t="shared" si="2"/>
        <v>8424000</v>
      </c>
      <c r="I30" s="307">
        <f t="shared" si="3"/>
        <v>156000</v>
      </c>
      <c r="J30" s="533"/>
      <c r="K30" s="304"/>
      <c r="L30" s="304">
        <f>M85</f>
        <v>51111.111111111109</v>
      </c>
      <c r="M30" s="304">
        <f>L30</f>
        <v>51111.111111111109</v>
      </c>
      <c r="N30" s="304">
        <f>M30</f>
        <v>51111.111111111109</v>
      </c>
      <c r="O30" s="303">
        <f t="shared" si="4"/>
        <v>153333.33333333331</v>
      </c>
      <c r="P30" s="305">
        <f>N85/4</f>
        <v>12500</v>
      </c>
      <c r="Q30" s="305">
        <f>P30</f>
        <v>12500</v>
      </c>
      <c r="R30" s="305">
        <f>Q30</f>
        <v>12500</v>
      </c>
      <c r="S30" s="305">
        <f>R30</f>
        <v>12500</v>
      </c>
      <c r="T30" s="303">
        <f t="shared" si="5"/>
        <v>50000</v>
      </c>
      <c r="U30" s="306">
        <f>O85/4</f>
        <v>13722.222222222223</v>
      </c>
      <c r="V30" s="306">
        <f>U30</f>
        <v>13722.222222222223</v>
      </c>
      <c r="W30" s="306">
        <f>V30</f>
        <v>13722.222222222223</v>
      </c>
      <c r="X30" s="306">
        <f>W30</f>
        <v>13722.222222222223</v>
      </c>
      <c r="Y30" s="303">
        <f t="shared" si="6"/>
        <v>54888.888888888891</v>
      </c>
      <c r="Z30" s="282">
        <f t="shared" si="8"/>
        <v>258222.22222222219</v>
      </c>
    </row>
    <row r="31" spans="2:26" x14ac:dyDescent="0.3">
      <c r="B31" s="277"/>
      <c r="C31" s="277" t="s">
        <v>56</v>
      </c>
      <c r="D31" s="286"/>
      <c r="E31" s="286"/>
      <c r="F31" s="286"/>
      <c r="G31" s="444"/>
      <c r="H31" s="445"/>
      <c r="I31" s="445"/>
      <c r="J31" s="533"/>
      <c r="K31" s="286">
        <f>K27+K28+K29+K30</f>
        <v>0</v>
      </c>
      <c r="L31" s="286">
        <f t="shared" ref="L31:X31" si="9">L27+L28+L29+L30</f>
        <v>51111.111111111109</v>
      </c>
      <c r="M31" s="286">
        <f t="shared" si="9"/>
        <v>82777.777777777781</v>
      </c>
      <c r="N31" s="286">
        <f t="shared" si="9"/>
        <v>51111.111111111109</v>
      </c>
      <c r="O31" s="434">
        <f t="shared" si="4"/>
        <v>185000</v>
      </c>
      <c r="P31" s="310">
        <f t="shared" si="9"/>
        <v>44166.666666666672</v>
      </c>
      <c r="Q31" s="310">
        <f t="shared" si="9"/>
        <v>12500</v>
      </c>
      <c r="R31" s="310">
        <f t="shared" si="9"/>
        <v>44166.666666666672</v>
      </c>
      <c r="S31" s="310">
        <f t="shared" si="9"/>
        <v>12500</v>
      </c>
      <c r="T31" s="434">
        <f t="shared" si="5"/>
        <v>113333.33333333334</v>
      </c>
      <c r="U31" s="310">
        <f t="shared" si="9"/>
        <v>45388.888888888891</v>
      </c>
      <c r="V31" s="310">
        <f t="shared" si="9"/>
        <v>13722.222222222223</v>
      </c>
      <c r="W31" s="310">
        <f t="shared" si="9"/>
        <v>45388.888888888891</v>
      </c>
      <c r="X31" s="310">
        <f t="shared" si="9"/>
        <v>13722.222222222223</v>
      </c>
      <c r="Y31" s="434">
        <f t="shared" si="6"/>
        <v>118222.22222222222</v>
      </c>
      <c r="Z31" s="310">
        <f t="shared" si="8"/>
        <v>416555.55555555562</v>
      </c>
    </row>
    <row r="32" spans="2:26" s="300" customFormat="1" x14ac:dyDescent="0.3">
      <c r="B32" s="699" t="str">
        <f>C16</f>
        <v>Support research studes on vaccines</v>
      </c>
      <c r="C32" s="700"/>
      <c r="D32" s="700"/>
      <c r="E32" s="700"/>
      <c r="F32" s="700"/>
      <c r="G32" s="700"/>
      <c r="H32" s="700"/>
      <c r="I32" s="701"/>
      <c r="J32" s="533"/>
      <c r="K32" s="313"/>
      <c r="L32" s="313"/>
      <c r="M32" s="313"/>
      <c r="N32" s="313"/>
      <c r="O32" s="314">
        <f t="shared" si="4"/>
        <v>0</v>
      </c>
      <c r="P32" s="312"/>
      <c r="Q32" s="312"/>
      <c r="R32" s="312"/>
      <c r="S32" s="312"/>
      <c r="T32" s="314">
        <f t="shared" si="5"/>
        <v>0</v>
      </c>
      <c r="U32" s="312"/>
      <c r="V32" s="312"/>
      <c r="W32" s="312"/>
      <c r="X32" s="312"/>
      <c r="Y32" s="314"/>
      <c r="Z32" s="312"/>
    </row>
    <row r="33" spans="2:26" ht="48" customHeight="1" x14ac:dyDescent="0.3">
      <c r="B33" s="253" t="s">
        <v>430</v>
      </c>
      <c r="C33" s="430" t="str">
        <f>C16</f>
        <v>Support research studes on vaccines</v>
      </c>
      <c r="D33" s="274"/>
      <c r="E33" s="274"/>
      <c r="F33" s="274"/>
      <c r="G33" s="443"/>
      <c r="H33" s="307">
        <f t="shared" si="2"/>
        <v>0</v>
      </c>
      <c r="I33" s="307">
        <f t="shared" si="3"/>
        <v>0</v>
      </c>
      <c r="J33" s="533"/>
      <c r="K33" s="304"/>
      <c r="L33" s="304"/>
      <c r="M33" s="304"/>
      <c r="N33" s="304"/>
      <c r="O33" s="303"/>
      <c r="P33" s="305"/>
      <c r="Q33" s="305"/>
      <c r="R33" s="305"/>
      <c r="S33" s="305"/>
      <c r="T33" s="303"/>
      <c r="U33" s="306"/>
      <c r="V33" s="306"/>
      <c r="W33" s="306"/>
      <c r="X33" s="306"/>
      <c r="Y33" s="303"/>
      <c r="Z33" s="282"/>
    </row>
    <row r="34" spans="2:26" x14ac:dyDescent="0.3">
      <c r="B34" s="253">
        <f>B17</f>
        <v>1</v>
      </c>
      <c r="C34" s="253" t="s">
        <v>434</v>
      </c>
      <c r="D34" s="274">
        <v>0</v>
      </c>
      <c r="E34" s="274">
        <v>0</v>
      </c>
      <c r="F34" s="274">
        <v>0</v>
      </c>
      <c r="G34" s="443">
        <v>1</v>
      </c>
      <c r="H34" s="307">
        <f t="shared" si="2"/>
        <v>0</v>
      </c>
      <c r="I34" s="307">
        <f t="shared" si="3"/>
        <v>0</v>
      </c>
      <c r="J34" s="533"/>
      <c r="K34" s="304">
        <v>0</v>
      </c>
      <c r="L34" s="304"/>
      <c r="M34" s="304">
        <v>0</v>
      </c>
      <c r="N34" s="304"/>
      <c r="O34" s="303">
        <f t="shared" si="4"/>
        <v>0</v>
      </c>
      <c r="P34" s="305">
        <v>0</v>
      </c>
      <c r="Q34" s="305"/>
      <c r="R34" s="305"/>
      <c r="S34" s="305"/>
      <c r="T34" s="303">
        <f t="shared" si="5"/>
        <v>0</v>
      </c>
      <c r="U34" s="306"/>
      <c r="V34" s="306"/>
      <c r="W34" s="306"/>
      <c r="X34" s="306"/>
      <c r="Y34" s="303">
        <f t="shared" si="6"/>
        <v>0</v>
      </c>
      <c r="Z34" s="282">
        <f t="shared" si="8"/>
        <v>0</v>
      </c>
    </row>
    <row r="35" spans="2:26" x14ac:dyDescent="0.3">
      <c r="B35" s="253">
        <f t="shared" ref="B35:B38" si="10">B18</f>
        <v>2</v>
      </c>
      <c r="C35" s="253" t="s">
        <v>435</v>
      </c>
      <c r="D35" s="274">
        <v>100000</v>
      </c>
      <c r="E35" s="274">
        <v>1</v>
      </c>
      <c r="F35" s="274">
        <v>1</v>
      </c>
      <c r="G35" s="443">
        <v>1</v>
      </c>
      <c r="H35" s="307">
        <f t="shared" si="2"/>
        <v>100000</v>
      </c>
      <c r="I35" s="307">
        <f t="shared" si="3"/>
        <v>1851.851851851852</v>
      </c>
      <c r="J35" s="533"/>
      <c r="K35" s="304"/>
      <c r="L35" s="304"/>
      <c r="M35" s="304">
        <f>I35</f>
        <v>1851.851851851852</v>
      </c>
      <c r="N35" s="304"/>
      <c r="O35" s="303">
        <f t="shared" si="4"/>
        <v>1851.851851851852</v>
      </c>
      <c r="P35" s="305"/>
      <c r="Q35" s="305"/>
      <c r="R35" s="305"/>
      <c r="S35" s="305"/>
      <c r="T35" s="303">
        <f t="shared" si="5"/>
        <v>0</v>
      </c>
      <c r="U35" s="306"/>
      <c r="V35" s="306"/>
      <c r="W35" s="306"/>
      <c r="X35" s="306"/>
      <c r="Y35" s="303">
        <f t="shared" si="6"/>
        <v>0</v>
      </c>
      <c r="Z35" s="282">
        <f t="shared" si="8"/>
        <v>1851.851851851852</v>
      </c>
    </row>
    <row r="36" spans="2:26" x14ac:dyDescent="0.3">
      <c r="B36" s="253">
        <f t="shared" si="10"/>
        <v>3</v>
      </c>
      <c r="C36" s="253" t="s">
        <v>436</v>
      </c>
      <c r="D36" s="274">
        <v>35000000</v>
      </c>
      <c r="E36" s="274">
        <v>1</v>
      </c>
      <c r="F36" s="274">
        <v>1</v>
      </c>
      <c r="G36" s="443">
        <v>1</v>
      </c>
      <c r="H36" s="307">
        <f t="shared" si="2"/>
        <v>35000000</v>
      </c>
      <c r="I36" s="307">
        <f t="shared" si="3"/>
        <v>648148.1481481482</v>
      </c>
      <c r="J36" s="533"/>
      <c r="K36" s="304"/>
      <c r="L36" s="304"/>
      <c r="M36" s="304">
        <f>I36</f>
        <v>648148.1481481482</v>
      </c>
      <c r="N36" s="304"/>
      <c r="O36" s="303">
        <f t="shared" si="4"/>
        <v>648148.1481481482</v>
      </c>
      <c r="P36" s="305">
        <f>I36</f>
        <v>648148.1481481482</v>
      </c>
      <c r="Q36" s="305">
        <f>I36*Q19</f>
        <v>648148.1481481482</v>
      </c>
      <c r="R36" s="305">
        <f>I36</f>
        <v>648148.1481481482</v>
      </c>
      <c r="S36" s="305"/>
      <c r="T36" s="303">
        <f t="shared" si="5"/>
        <v>1944444.4444444445</v>
      </c>
      <c r="U36" s="306">
        <f>I36</f>
        <v>648148.1481481482</v>
      </c>
      <c r="V36" s="306"/>
      <c r="W36" s="306">
        <f>I36</f>
        <v>648148.1481481482</v>
      </c>
      <c r="X36" s="306"/>
      <c r="Y36" s="303">
        <f t="shared" si="6"/>
        <v>1296296.2962962964</v>
      </c>
      <c r="Z36" s="282">
        <f t="shared" si="8"/>
        <v>3888888.888888889</v>
      </c>
    </row>
    <row r="37" spans="2:26" x14ac:dyDescent="0.3">
      <c r="B37" s="253">
        <f t="shared" si="10"/>
        <v>4</v>
      </c>
      <c r="C37" s="253" t="s">
        <v>342</v>
      </c>
      <c r="D37" s="274">
        <v>750000</v>
      </c>
      <c r="E37" s="274">
        <v>1</v>
      </c>
      <c r="F37" s="274">
        <v>1</v>
      </c>
      <c r="G37" s="443">
        <v>1</v>
      </c>
      <c r="H37" s="307">
        <f t="shared" si="2"/>
        <v>750000</v>
      </c>
      <c r="I37" s="307">
        <f t="shared" si="3"/>
        <v>13888.888888888889</v>
      </c>
      <c r="J37" s="533"/>
      <c r="K37" s="304"/>
      <c r="L37" s="304"/>
      <c r="M37" s="304"/>
      <c r="N37" s="304">
        <f>I37</f>
        <v>13888.888888888889</v>
      </c>
      <c r="O37" s="303">
        <f t="shared" si="4"/>
        <v>13888.888888888889</v>
      </c>
      <c r="P37" s="305"/>
      <c r="Q37" s="305"/>
      <c r="R37" s="305"/>
      <c r="S37" s="305">
        <f>I37</f>
        <v>13888.888888888889</v>
      </c>
      <c r="T37" s="303">
        <f t="shared" si="5"/>
        <v>13888.888888888889</v>
      </c>
      <c r="U37" s="306"/>
      <c r="V37" s="306"/>
      <c r="W37" s="306"/>
      <c r="X37" s="306">
        <f>I37</f>
        <v>13888.888888888889</v>
      </c>
      <c r="Y37" s="303">
        <f t="shared" si="6"/>
        <v>13888.888888888889</v>
      </c>
      <c r="Z37" s="282">
        <f t="shared" si="8"/>
        <v>41666.666666666664</v>
      </c>
    </row>
    <row r="38" spans="2:26" x14ac:dyDescent="0.3">
      <c r="B38" s="253">
        <f t="shared" si="10"/>
        <v>5</v>
      </c>
      <c r="C38" s="336" t="s">
        <v>343</v>
      </c>
      <c r="D38" s="274">
        <v>500000</v>
      </c>
      <c r="E38" s="274">
        <v>1</v>
      </c>
      <c r="F38" s="274">
        <v>1</v>
      </c>
      <c r="G38" s="443">
        <v>1</v>
      </c>
      <c r="H38" s="307">
        <f t="shared" si="2"/>
        <v>500000</v>
      </c>
      <c r="I38" s="307">
        <f t="shared" si="3"/>
        <v>9259.2592592592591</v>
      </c>
      <c r="J38" s="438"/>
      <c r="K38" s="304"/>
      <c r="L38" s="304"/>
      <c r="M38" s="304"/>
      <c r="N38" s="304">
        <f>I38</f>
        <v>9259.2592592592591</v>
      </c>
      <c r="O38" s="303">
        <f t="shared" si="4"/>
        <v>9259.2592592592591</v>
      </c>
      <c r="P38" s="305"/>
      <c r="Q38" s="305"/>
      <c r="R38" s="305"/>
      <c r="S38" s="305">
        <f>I38</f>
        <v>9259.2592592592591</v>
      </c>
      <c r="T38" s="303">
        <f t="shared" si="5"/>
        <v>9259.2592592592591</v>
      </c>
      <c r="U38" s="306"/>
      <c r="V38" s="306"/>
      <c r="W38" s="306"/>
      <c r="X38" s="306">
        <f>I38</f>
        <v>9259.2592592592591</v>
      </c>
      <c r="Y38" s="303">
        <f t="shared" si="6"/>
        <v>9259.2592592592591</v>
      </c>
      <c r="Z38" s="282">
        <f t="shared" si="8"/>
        <v>27777.777777777777</v>
      </c>
    </row>
    <row r="39" spans="2:26" x14ac:dyDescent="0.3">
      <c r="B39" s="277"/>
      <c r="C39" s="277" t="s">
        <v>56</v>
      </c>
      <c r="D39" s="286"/>
      <c r="E39" s="286"/>
      <c r="F39" s="286"/>
      <c r="G39" s="444"/>
      <c r="H39" s="445"/>
      <c r="I39" s="445"/>
      <c r="J39" s="533"/>
      <c r="K39" s="286">
        <f>K34+K35+K36+K37+K38</f>
        <v>0</v>
      </c>
      <c r="L39" s="286">
        <f t="shared" ref="L39:Z39" si="11">L34+L35+L36+L37+L38</f>
        <v>0</v>
      </c>
      <c r="M39" s="286">
        <f t="shared" si="11"/>
        <v>650000</v>
      </c>
      <c r="N39" s="286">
        <f t="shared" si="11"/>
        <v>23148.148148148146</v>
      </c>
      <c r="O39" s="310">
        <f t="shared" si="11"/>
        <v>673148.14814814809</v>
      </c>
      <c r="P39" s="310">
        <f t="shared" si="11"/>
        <v>648148.1481481482</v>
      </c>
      <c r="Q39" s="310">
        <f t="shared" si="11"/>
        <v>648148.1481481482</v>
      </c>
      <c r="R39" s="310">
        <f t="shared" si="11"/>
        <v>648148.1481481482</v>
      </c>
      <c r="S39" s="310">
        <f t="shared" si="11"/>
        <v>23148.148148148146</v>
      </c>
      <c r="T39" s="310">
        <f t="shared" si="11"/>
        <v>1967592.5925925928</v>
      </c>
      <c r="U39" s="310">
        <f t="shared" si="11"/>
        <v>648148.1481481482</v>
      </c>
      <c r="V39" s="310">
        <f t="shared" si="11"/>
        <v>0</v>
      </c>
      <c r="W39" s="310">
        <f t="shared" si="11"/>
        <v>648148.1481481482</v>
      </c>
      <c r="X39" s="310">
        <f t="shared" si="11"/>
        <v>23148.148148148146</v>
      </c>
      <c r="Y39" s="310">
        <f t="shared" si="11"/>
        <v>1319444.4444444447</v>
      </c>
      <c r="Z39" s="310">
        <f t="shared" si="11"/>
        <v>3960185.1851851852</v>
      </c>
    </row>
    <row r="40" spans="2:26" x14ac:dyDescent="0.3">
      <c r="J40" s="438"/>
    </row>
    <row r="41" spans="2:26" x14ac:dyDescent="0.3">
      <c r="J41" s="438"/>
    </row>
    <row r="42" spans="2:26" x14ac:dyDescent="0.3">
      <c r="B42" s="253"/>
      <c r="C42" s="253" t="s">
        <v>59</v>
      </c>
      <c r="D42" s="253"/>
      <c r="E42" s="253"/>
      <c r="F42" s="253"/>
      <c r="G42" s="253"/>
      <c r="H42" s="253"/>
      <c r="I42" s="253"/>
      <c r="J42" s="53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</row>
    <row r="43" spans="2:26" x14ac:dyDescent="0.3">
      <c r="B43" s="253"/>
      <c r="C43" s="253"/>
      <c r="D43" s="253"/>
      <c r="E43" s="253"/>
      <c r="F43" s="253"/>
      <c r="G43" s="253"/>
      <c r="H43" s="253"/>
      <c r="I43" s="253"/>
      <c r="J43" s="533"/>
      <c r="K43" s="753" t="s">
        <v>26</v>
      </c>
      <c r="L43" s="754"/>
      <c r="M43" s="754"/>
      <c r="N43" s="755"/>
      <c r="O43" s="303" t="s">
        <v>26</v>
      </c>
      <c r="P43" s="303" t="s">
        <v>27</v>
      </c>
      <c r="Q43" s="303"/>
      <c r="R43" s="303"/>
      <c r="S43" s="303"/>
      <c r="T43" s="303" t="s">
        <v>27</v>
      </c>
      <c r="U43" s="303" t="s">
        <v>28</v>
      </c>
      <c r="V43" s="303"/>
      <c r="W43" s="303"/>
      <c r="X43" s="303"/>
      <c r="Y43" s="303" t="s">
        <v>28</v>
      </c>
      <c r="Z43" s="315" t="s">
        <v>19</v>
      </c>
    </row>
    <row r="44" spans="2:26" x14ac:dyDescent="0.3">
      <c r="B44" s="253"/>
      <c r="C44" s="253"/>
      <c r="D44" s="253"/>
      <c r="E44" s="253"/>
      <c r="F44" s="253"/>
      <c r="G44" s="253"/>
      <c r="H44" s="253"/>
      <c r="I44" s="253"/>
      <c r="J44" s="533"/>
      <c r="K44" s="316" t="s">
        <v>36</v>
      </c>
      <c r="L44" s="316" t="s">
        <v>37</v>
      </c>
      <c r="M44" s="316" t="s">
        <v>38</v>
      </c>
      <c r="N44" s="316" t="s">
        <v>39</v>
      </c>
      <c r="O44" s="303" t="s">
        <v>9</v>
      </c>
      <c r="P44" s="303" t="s">
        <v>36</v>
      </c>
      <c r="Q44" s="303" t="s">
        <v>37</v>
      </c>
      <c r="R44" s="303" t="s">
        <v>38</v>
      </c>
      <c r="S44" s="303" t="s">
        <v>39</v>
      </c>
      <c r="T44" s="303" t="s">
        <v>9</v>
      </c>
      <c r="U44" s="303" t="s">
        <v>36</v>
      </c>
      <c r="V44" s="303" t="s">
        <v>37</v>
      </c>
      <c r="W44" s="303" t="s">
        <v>38</v>
      </c>
      <c r="X44" s="303" t="s">
        <v>39</v>
      </c>
      <c r="Y44" s="303" t="s">
        <v>9</v>
      </c>
      <c r="Z44" s="315"/>
    </row>
    <row r="45" spans="2:26" x14ac:dyDescent="0.3">
      <c r="B45" s="253" t="s">
        <v>429</v>
      </c>
      <c r="C45" s="253" t="str">
        <f>C3</f>
        <v>Setup a research network</v>
      </c>
      <c r="D45" s="253"/>
      <c r="E45" s="253"/>
      <c r="F45" s="253"/>
      <c r="G45" s="253"/>
      <c r="H45" s="253"/>
      <c r="I45" s="253"/>
      <c r="J45" s="533"/>
      <c r="K45" s="317">
        <f t="shared" ref="K45:Z45" si="12">K31</f>
        <v>0</v>
      </c>
      <c r="L45" s="317">
        <f t="shared" si="12"/>
        <v>51111.111111111109</v>
      </c>
      <c r="M45" s="317">
        <f t="shared" si="12"/>
        <v>82777.777777777781</v>
      </c>
      <c r="N45" s="317">
        <f t="shared" si="12"/>
        <v>51111.111111111109</v>
      </c>
      <c r="O45" s="303">
        <f t="shared" si="12"/>
        <v>185000</v>
      </c>
      <c r="P45" s="303">
        <f t="shared" si="12"/>
        <v>44166.666666666672</v>
      </c>
      <c r="Q45" s="303">
        <f t="shared" si="12"/>
        <v>12500</v>
      </c>
      <c r="R45" s="303">
        <f t="shared" si="12"/>
        <v>44166.666666666672</v>
      </c>
      <c r="S45" s="303">
        <f t="shared" si="12"/>
        <v>12500</v>
      </c>
      <c r="T45" s="303">
        <f t="shared" si="12"/>
        <v>113333.33333333334</v>
      </c>
      <c r="U45" s="303">
        <f t="shared" si="12"/>
        <v>45388.888888888891</v>
      </c>
      <c r="V45" s="303">
        <f t="shared" si="12"/>
        <v>13722.222222222223</v>
      </c>
      <c r="W45" s="303">
        <f t="shared" si="12"/>
        <v>45388.888888888891</v>
      </c>
      <c r="X45" s="303">
        <f t="shared" si="12"/>
        <v>13722.222222222223</v>
      </c>
      <c r="Y45" s="303">
        <f t="shared" si="12"/>
        <v>118222.22222222222</v>
      </c>
      <c r="Z45" s="315">
        <f t="shared" si="12"/>
        <v>416555.55555555562</v>
      </c>
    </row>
    <row r="46" spans="2:26" x14ac:dyDescent="0.3">
      <c r="B46" s="253" t="s">
        <v>430</v>
      </c>
      <c r="C46" s="253" t="str">
        <f>C4</f>
        <v>Support research studes on vaccines</v>
      </c>
      <c r="D46" s="253"/>
      <c r="E46" s="253"/>
      <c r="F46" s="253"/>
      <c r="G46" s="253"/>
      <c r="H46" s="253"/>
      <c r="I46" s="253"/>
      <c r="J46" s="533"/>
      <c r="K46" s="317">
        <f t="shared" ref="K46:Z46" si="13">K39</f>
        <v>0</v>
      </c>
      <c r="L46" s="317">
        <f t="shared" si="13"/>
        <v>0</v>
      </c>
      <c r="M46" s="317">
        <f t="shared" si="13"/>
        <v>650000</v>
      </c>
      <c r="N46" s="317">
        <f t="shared" si="13"/>
        <v>23148.148148148146</v>
      </c>
      <c r="O46" s="303">
        <f t="shared" si="13"/>
        <v>673148.14814814809</v>
      </c>
      <c r="P46" s="303">
        <f t="shared" si="13"/>
        <v>648148.1481481482</v>
      </c>
      <c r="Q46" s="303">
        <f t="shared" si="13"/>
        <v>648148.1481481482</v>
      </c>
      <c r="R46" s="303">
        <f t="shared" si="13"/>
        <v>648148.1481481482</v>
      </c>
      <c r="S46" s="303">
        <f t="shared" si="13"/>
        <v>23148.148148148146</v>
      </c>
      <c r="T46" s="303">
        <f t="shared" si="13"/>
        <v>1967592.5925925928</v>
      </c>
      <c r="U46" s="303">
        <f t="shared" si="13"/>
        <v>648148.1481481482</v>
      </c>
      <c r="V46" s="303">
        <f t="shared" si="13"/>
        <v>0</v>
      </c>
      <c r="W46" s="303">
        <f t="shared" si="13"/>
        <v>648148.1481481482</v>
      </c>
      <c r="X46" s="303">
        <f t="shared" si="13"/>
        <v>23148.148148148146</v>
      </c>
      <c r="Y46" s="303">
        <f t="shared" si="13"/>
        <v>1319444.4444444447</v>
      </c>
      <c r="Z46" s="315">
        <f t="shared" si="13"/>
        <v>3960185.1851851852</v>
      </c>
    </row>
    <row r="47" spans="2:26" x14ac:dyDescent="0.3">
      <c r="B47" s="253"/>
      <c r="C47" s="291" t="s">
        <v>59</v>
      </c>
      <c r="D47" s="291"/>
      <c r="E47" s="291"/>
      <c r="F47" s="291"/>
      <c r="G47" s="291"/>
      <c r="H47" s="291"/>
      <c r="I47" s="291"/>
      <c r="J47" s="534"/>
      <c r="K47" s="292">
        <f>K45+K46</f>
        <v>0</v>
      </c>
      <c r="L47" s="292">
        <f t="shared" ref="L47:Z47" si="14">L45+L46</f>
        <v>51111.111111111109</v>
      </c>
      <c r="M47" s="292">
        <f t="shared" si="14"/>
        <v>732777.77777777775</v>
      </c>
      <c r="N47" s="292">
        <f t="shared" si="14"/>
        <v>74259.259259259255</v>
      </c>
      <c r="O47" s="292">
        <f t="shared" si="14"/>
        <v>858148.14814814809</v>
      </c>
      <c r="P47" s="292">
        <f t="shared" si="14"/>
        <v>692314.81481481483</v>
      </c>
      <c r="Q47" s="292">
        <f t="shared" si="14"/>
        <v>660648.1481481482</v>
      </c>
      <c r="R47" s="292">
        <f t="shared" si="14"/>
        <v>692314.81481481483</v>
      </c>
      <c r="S47" s="292">
        <f t="shared" si="14"/>
        <v>35648.148148148146</v>
      </c>
      <c r="T47" s="292">
        <f t="shared" si="14"/>
        <v>2080925.9259259261</v>
      </c>
      <c r="U47" s="292">
        <f t="shared" si="14"/>
        <v>693537.03703703708</v>
      </c>
      <c r="V47" s="292">
        <f t="shared" si="14"/>
        <v>13722.222222222223</v>
      </c>
      <c r="W47" s="292">
        <f t="shared" si="14"/>
        <v>693537.03703703708</v>
      </c>
      <c r="X47" s="292">
        <f t="shared" si="14"/>
        <v>36870.370370370365</v>
      </c>
      <c r="Y47" s="292">
        <f t="shared" si="14"/>
        <v>1437666.666666667</v>
      </c>
      <c r="Z47" s="292">
        <f t="shared" si="14"/>
        <v>4376740.7407407407</v>
      </c>
    </row>
    <row r="49" spans="1:14" x14ac:dyDescent="0.3">
      <c r="B49" s="746" t="s">
        <v>61</v>
      </c>
      <c r="C49" s="746"/>
      <c r="D49" s="746"/>
      <c r="E49" s="746"/>
      <c r="F49" s="746"/>
      <c r="G49" s="746"/>
      <c r="H49" s="746"/>
      <c r="I49" s="746"/>
      <c r="J49" s="746"/>
    </row>
    <row r="50" spans="1:14" x14ac:dyDescent="0.3">
      <c r="A50" s="762" t="s">
        <v>437</v>
      </c>
      <c r="B50" s="762"/>
      <c r="C50" s="762"/>
      <c r="D50" s="762"/>
      <c r="E50" s="762"/>
      <c r="F50" s="762"/>
      <c r="G50" s="762"/>
      <c r="H50" s="762"/>
      <c r="I50" s="762"/>
      <c r="J50" s="762"/>
      <c r="K50" s="532"/>
      <c r="L50" s="532"/>
      <c r="M50" s="322"/>
    </row>
    <row r="51" spans="1:14" x14ac:dyDescent="0.3">
      <c r="A51" s="327"/>
      <c r="B51" s="327"/>
      <c r="C51" s="327" t="s">
        <v>4</v>
      </c>
      <c r="D51" s="327" t="s">
        <v>79</v>
      </c>
      <c r="E51" s="327" t="s">
        <v>80</v>
      </c>
      <c r="F51" s="327" t="s">
        <v>50</v>
      </c>
      <c r="G51" s="327" t="s">
        <v>57</v>
      </c>
      <c r="H51" s="328" t="s">
        <v>53</v>
      </c>
      <c r="I51" s="329" t="s">
        <v>9</v>
      </c>
      <c r="J51" s="329" t="s">
        <v>81</v>
      </c>
      <c r="K51" s="322"/>
    </row>
    <row r="52" spans="1:14" x14ac:dyDescent="0.3">
      <c r="A52" s="741" t="s">
        <v>82</v>
      </c>
      <c r="B52" s="742"/>
      <c r="C52" s="742"/>
      <c r="D52" s="743"/>
      <c r="E52" s="330"/>
      <c r="F52" s="330"/>
      <c r="G52" s="330"/>
      <c r="H52" s="331"/>
      <c r="I52" s="330"/>
      <c r="J52" s="330"/>
      <c r="K52" s="322"/>
    </row>
    <row r="53" spans="1:14" x14ac:dyDescent="0.3">
      <c r="A53" s="253">
        <v>1</v>
      </c>
      <c r="B53" s="253" t="s">
        <v>83</v>
      </c>
      <c r="C53" s="253"/>
      <c r="D53" s="253"/>
      <c r="E53" s="253"/>
      <c r="F53" s="253"/>
      <c r="G53" s="253"/>
      <c r="H53" s="271"/>
      <c r="I53" s="253"/>
      <c r="J53" s="253"/>
      <c r="K53" s="322"/>
    </row>
    <row r="54" spans="1:14" x14ac:dyDescent="0.3">
      <c r="A54" s="253"/>
      <c r="B54" s="253" t="s">
        <v>84</v>
      </c>
      <c r="C54" s="253"/>
      <c r="D54" s="253" t="s">
        <v>85</v>
      </c>
      <c r="E54" s="253">
        <v>4</v>
      </c>
      <c r="F54" s="435">
        <v>50000</v>
      </c>
      <c r="G54" s="253">
        <v>3</v>
      </c>
      <c r="H54" s="271">
        <v>1</v>
      </c>
      <c r="I54" s="332">
        <f>E54*F54*G54*H54</f>
        <v>600000</v>
      </c>
      <c r="J54" s="332">
        <f>I54/54</f>
        <v>11111.111111111111</v>
      </c>
      <c r="K54" s="322"/>
    </row>
    <row r="55" spans="1:14" x14ac:dyDescent="0.3">
      <c r="A55" s="253"/>
      <c r="B55" s="253" t="s">
        <v>86</v>
      </c>
      <c r="C55" s="253" t="s">
        <v>87</v>
      </c>
      <c r="D55" s="253"/>
      <c r="E55" s="253"/>
      <c r="F55" s="435"/>
      <c r="G55" s="253"/>
      <c r="H55" s="271"/>
      <c r="I55" s="332">
        <f>E55*F55*G55*H55</f>
        <v>0</v>
      </c>
      <c r="J55" s="332">
        <f t="shared" ref="J55:J59" si="15">I55/54</f>
        <v>0</v>
      </c>
      <c r="K55" s="322"/>
    </row>
    <row r="56" spans="1:14" x14ac:dyDescent="0.3">
      <c r="A56" s="253"/>
      <c r="B56" s="253"/>
      <c r="C56" s="253" t="s">
        <v>88</v>
      </c>
      <c r="D56" s="253"/>
      <c r="E56" s="263">
        <v>4</v>
      </c>
      <c r="F56" s="435">
        <v>100000</v>
      </c>
      <c r="G56" s="253">
        <v>1</v>
      </c>
      <c r="H56" s="271">
        <v>1</v>
      </c>
      <c r="I56" s="332">
        <f>E56*F56*G56*H56</f>
        <v>400000</v>
      </c>
      <c r="J56" s="332">
        <f t="shared" si="15"/>
        <v>7407.4074074074078</v>
      </c>
      <c r="K56" s="322"/>
    </row>
    <row r="57" spans="1:14" x14ac:dyDescent="0.3">
      <c r="A57" s="253"/>
      <c r="B57" s="253"/>
      <c r="C57" s="253" t="s">
        <v>89</v>
      </c>
      <c r="D57" s="253" t="s">
        <v>438</v>
      </c>
      <c r="E57" s="263">
        <v>4</v>
      </c>
      <c r="F57" s="435">
        <v>2500</v>
      </c>
      <c r="G57" s="253">
        <v>3</v>
      </c>
      <c r="H57" s="271">
        <v>1</v>
      </c>
      <c r="I57" s="332">
        <f>E57*F57*G57*H57</f>
        <v>30000</v>
      </c>
      <c r="J57" s="332">
        <f t="shared" si="15"/>
        <v>555.55555555555554</v>
      </c>
      <c r="K57" s="322"/>
    </row>
    <row r="58" spans="1:14" x14ac:dyDescent="0.3">
      <c r="A58" s="253"/>
      <c r="B58" s="253"/>
      <c r="C58" s="253" t="s">
        <v>90</v>
      </c>
      <c r="D58" s="253"/>
      <c r="E58" s="263">
        <v>4</v>
      </c>
      <c r="F58" s="435">
        <v>10000</v>
      </c>
      <c r="G58" s="253">
        <v>3</v>
      </c>
      <c r="H58" s="271">
        <v>1</v>
      </c>
      <c r="I58" s="332">
        <f>E58*F58*G58*H58</f>
        <v>120000</v>
      </c>
      <c r="J58" s="332">
        <f t="shared" si="15"/>
        <v>2222.2222222222222</v>
      </c>
      <c r="K58" s="322"/>
    </row>
    <row r="59" spans="1:14" x14ac:dyDescent="0.3">
      <c r="A59" s="253"/>
      <c r="B59" s="253"/>
      <c r="C59" s="253"/>
      <c r="D59" s="333" t="s">
        <v>10</v>
      </c>
      <c r="E59" s="333"/>
      <c r="F59" s="436"/>
      <c r="G59" s="333"/>
      <c r="H59" s="334"/>
      <c r="I59" s="335">
        <f>I54+I55+I56+I57+I58</f>
        <v>1150000</v>
      </c>
      <c r="J59" s="335">
        <f t="shared" si="15"/>
        <v>21296.296296296296</v>
      </c>
      <c r="K59" s="322"/>
    </row>
    <row r="60" spans="1:14" x14ac:dyDescent="0.3">
      <c r="A60" s="336"/>
      <c r="B60" s="336"/>
      <c r="C60" s="336"/>
      <c r="D60" s="336"/>
      <c r="E60" s="336"/>
      <c r="F60" s="437"/>
      <c r="G60" s="336"/>
      <c r="H60" s="337"/>
      <c r="I60" s="336"/>
      <c r="J60" s="336"/>
      <c r="K60" s="339"/>
      <c r="L60" s="438"/>
      <c r="M60" s="438"/>
      <c r="N60" s="438"/>
    </row>
    <row r="61" spans="1:14" x14ac:dyDescent="0.3">
      <c r="A61" s="747" t="s">
        <v>91</v>
      </c>
      <c r="B61" s="748"/>
      <c r="C61" s="748"/>
      <c r="D61" s="749"/>
      <c r="E61" s="340"/>
      <c r="F61" s="439"/>
      <c r="G61" s="340"/>
      <c r="H61" s="341"/>
      <c r="I61" s="340"/>
      <c r="J61" s="340"/>
      <c r="K61" s="322"/>
    </row>
    <row r="62" spans="1:14" x14ac:dyDescent="0.3">
      <c r="A62" s="253"/>
      <c r="B62" s="253" t="s">
        <v>92</v>
      </c>
      <c r="C62" s="253" t="s">
        <v>93</v>
      </c>
      <c r="D62" s="253"/>
      <c r="E62" s="253">
        <v>20</v>
      </c>
      <c r="F62" s="435">
        <v>2000</v>
      </c>
      <c r="G62" s="253">
        <v>2</v>
      </c>
      <c r="H62" s="271">
        <v>1</v>
      </c>
      <c r="I62" s="332">
        <f>E62*F62*G62*H62</f>
        <v>80000</v>
      </c>
      <c r="J62" s="350">
        <f>I62/54</f>
        <v>1481.4814814814815</v>
      </c>
      <c r="K62" s="322"/>
    </row>
    <row r="63" spans="1:14" x14ac:dyDescent="0.3">
      <c r="A63" s="253"/>
      <c r="B63" s="253" t="s">
        <v>86</v>
      </c>
      <c r="C63" s="253" t="s">
        <v>94</v>
      </c>
      <c r="D63" s="253"/>
      <c r="E63" s="253">
        <v>10</v>
      </c>
      <c r="F63" s="435">
        <v>20000</v>
      </c>
      <c r="G63" s="253">
        <v>1</v>
      </c>
      <c r="H63" s="271">
        <v>1</v>
      </c>
      <c r="I63" s="332">
        <f>E63*F63*G63*H63</f>
        <v>200000</v>
      </c>
      <c r="J63" s="350">
        <f t="shared" ref="J63:J67" si="16">I63/54</f>
        <v>3703.7037037037039</v>
      </c>
      <c r="K63" s="322"/>
    </row>
    <row r="64" spans="1:14" x14ac:dyDescent="0.3">
      <c r="A64" s="253"/>
      <c r="B64" s="253" t="s">
        <v>95</v>
      </c>
      <c r="C64" s="253" t="s">
        <v>96</v>
      </c>
      <c r="D64" s="253"/>
      <c r="E64" s="253">
        <v>10</v>
      </c>
      <c r="F64" s="435">
        <v>10000</v>
      </c>
      <c r="G64" s="253">
        <v>2</v>
      </c>
      <c r="H64" s="271">
        <v>1</v>
      </c>
      <c r="I64" s="332">
        <f>E64*F64*G64*H64</f>
        <v>200000</v>
      </c>
      <c r="J64" s="350">
        <f t="shared" si="16"/>
        <v>3703.7037037037039</v>
      </c>
      <c r="K64" s="322"/>
    </row>
    <row r="65" spans="1:16" x14ac:dyDescent="0.3">
      <c r="A65" s="253"/>
      <c r="B65" s="253" t="s">
        <v>97</v>
      </c>
      <c r="C65" s="253" t="s">
        <v>171</v>
      </c>
      <c r="D65" s="253" t="s">
        <v>172</v>
      </c>
      <c r="E65" s="253">
        <v>20</v>
      </c>
      <c r="F65" s="435">
        <v>1000</v>
      </c>
      <c r="G65" s="253">
        <v>3</v>
      </c>
      <c r="H65" s="271">
        <v>1</v>
      </c>
      <c r="I65" s="332">
        <f>E65*F65*G65*H65</f>
        <v>60000</v>
      </c>
      <c r="J65" s="350">
        <f t="shared" si="16"/>
        <v>1111.1111111111111</v>
      </c>
      <c r="K65" s="322"/>
    </row>
    <row r="66" spans="1:16" x14ac:dyDescent="0.3">
      <c r="A66" s="253"/>
      <c r="B66" s="253" t="s">
        <v>106</v>
      </c>
      <c r="C66" s="253" t="s">
        <v>439</v>
      </c>
      <c r="D66" s="253"/>
      <c r="E66" s="253">
        <v>20</v>
      </c>
      <c r="F66" s="435">
        <v>500</v>
      </c>
      <c r="G66" s="253">
        <v>2</v>
      </c>
      <c r="H66" s="271">
        <v>1</v>
      </c>
      <c r="I66" s="332">
        <f>E66*F66*G66*H66</f>
        <v>20000</v>
      </c>
      <c r="J66" s="350">
        <f t="shared" si="16"/>
        <v>370.37037037037038</v>
      </c>
      <c r="K66" s="322"/>
    </row>
    <row r="67" spans="1:16" x14ac:dyDescent="0.3">
      <c r="A67" s="253"/>
      <c r="B67" s="253"/>
      <c r="C67" s="253"/>
      <c r="D67" s="333" t="s">
        <v>10</v>
      </c>
      <c r="E67" s="333"/>
      <c r="F67" s="436"/>
      <c r="G67" s="333"/>
      <c r="H67" s="334"/>
      <c r="I67" s="335">
        <f>SUM(I62:I66)</f>
        <v>560000</v>
      </c>
      <c r="J67" s="335">
        <f t="shared" si="16"/>
        <v>10370.37037037037</v>
      </c>
      <c r="K67" s="322"/>
    </row>
    <row r="68" spans="1:16" x14ac:dyDescent="0.3">
      <c r="A68" s="253"/>
      <c r="B68" s="253"/>
      <c r="C68" s="253"/>
      <c r="D68" s="253"/>
      <c r="E68" s="253"/>
      <c r="F68" s="253"/>
      <c r="G68" s="253"/>
      <c r="H68" s="271"/>
      <c r="I68" s="253"/>
      <c r="J68" s="253"/>
      <c r="K68" s="342"/>
      <c r="L68" s="440"/>
      <c r="M68" s="440"/>
      <c r="N68" s="440"/>
    </row>
    <row r="69" spans="1:16" x14ac:dyDescent="0.3">
      <c r="A69" s="253"/>
      <c r="B69" s="253"/>
      <c r="C69" s="253"/>
      <c r="D69" s="343" t="s">
        <v>19</v>
      </c>
      <c r="E69" s="343"/>
      <c r="F69" s="343"/>
      <c r="G69" s="343"/>
      <c r="H69" s="344"/>
      <c r="I69" s="345">
        <f>I59+I67</f>
        <v>1710000</v>
      </c>
      <c r="J69" s="345">
        <f>J59+J67</f>
        <v>31666.666666666664</v>
      </c>
      <c r="K69" s="342"/>
      <c r="L69" s="440"/>
      <c r="M69" s="440"/>
      <c r="N69" s="440"/>
    </row>
    <row r="70" spans="1:16" x14ac:dyDescent="0.3">
      <c r="H70" s="441"/>
      <c r="M70" s="322"/>
    </row>
    <row r="71" spans="1:16" x14ac:dyDescent="0.3">
      <c r="A71" s="762" t="s">
        <v>440</v>
      </c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253"/>
    </row>
    <row r="72" spans="1:16" x14ac:dyDescent="0.3">
      <c r="A72" s="327"/>
      <c r="B72" s="327"/>
      <c r="C72" s="327" t="s">
        <v>4</v>
      </c>
      <c r="D72" s="327" t="s">
        <v>79</v>
      </c>
      <c r="E72" s="327" t="s">
        <v>80</v>
      </c>
      <c r="F72" s="327" t="s">
        <v>50</v>
      </c>
      <c r="G72" s="327" t="s">
        <v>57</v>
      </c>
      <c r="H72" s="328" t="s">
        <v>53</v>
      </c>
      <c r="I72" s="329" t="s">
        <v>65</v>
      </c>
      <c r="J72" s="329" t="s">
        <v>81</v>
      </c>
      <c r="K72" s="329" t="s">
        <v>9</v>
      </c>
      <c r="L72" s="329" t="s">
        <v>81</v>
      </c>
      <c r="M72" s="360" t="s">
        <v>26</v>
      </c>
      <c r="N72" s="329" t="s">
        <v>27</v>
      </c>
      <c r="O72" s="329" t="s">
        <v>28</v>
      </c>
      <c r="P72" s="329" t="s">
        <v>9</v>
      </c>
    </row>
    <row r="73" spans="1:16" x14ac:dyDescent="0.3">
      <c r="A73" s="763" t="s">
        <v>345</v>
      </c>
      <c r="B73" s="763"/>
      <c r="C73" s="763"/>
      <c r="D73" s="763"/>
      <c r="E73" s="330"/>
      <c r="F73" s="330"/>
      <c r="G73" s="330"/>
      <c r="H73" s="331"/>
      <c r="I73" s="330"/>
      <c r="J73" s="330"/>
      <c r="K73" s="330"/>
      <c r="L73" s="330"/>
      <c r="M73" s="274"/>
      <c r="N73" s="253"/>
      <c r="O73" s="253"/>
      <c r="P73" s="253"/>
    </row>
    <row r="74" spans="1:16" x14ac:dyDescent="0.3">
      <c r="A74" s="253"/>
      <c r="B74" s="253" t="s">
        <v>86</v>
      </c>
      <c r="C74" s="253" t="s">
        <v>87</v>
      </c>
      <c r="D74" s="253"/>
      <c r="E74" s="253"/>
      <c r="F74" s="435"/>
      <c r="G74" s="253"/>
      <c r="H74" s="271"/>
      <c r="I74" s="253"/>
      <c r="J74" s="253"/>
      <c r="K74" s="332">
        <f t="shared" ref="K74:K75" si="17">E74*F74*G74*H74</f>
        <v>0</v>
      </c>
      <c r="L74" s="332">
        <f t="shared" ref="L74:L76" si="18">K74/54</f>
        <v>0</v>
      </c>
      <c r="M74" s="274"/>
      <c r="N74" s="253"/>
      <c r="O74" s="253"/>
      <c r="P74" s="253"/>
    </row>
    <row r="75" spans="1:16" x14ac:dyDescent="0.3">
      <c r="A75" s="253"/>
      <c r="B75" s="253"/>
      <c r="C75" s="253" t="s">
        <v>441</v>
      </c>
      <c r="D75" s="253"/>
      <c r="E75" s="263">
        <v>1</v>
      </c>
      <c r="F75" s="435">
        <v>100000</v>
      </c>
      <c r="G75" s="253">
        <v>12</v>
      </c>
      <c r="H75" s="271">
        <v>1</v>
      </c>
      <c r="I75" s="276">
        <f>E75*F75*G75*H75</f>
        <v>1200000</v>
      </c>
      <c r="J75" s="332">
        <f>I75/52.8</f>
        <v>22727.272727272728</v>
      </c>
      <c r="K75" s="332">
        <f t="shared" si="17"/>
        <v>1200000</v>
      </c>
      <c r="L75" s="332">
        <f t="shared" si="18"/>
        <v>22222.222222222223</v>
      </c>
      <c r="M75" s="274">
        <f>L75</f>
        <v>22222.222222222223</v>
      </c>
      <c r="N75" s="276">
        <f>M75+(M75*10%)</f>
        <v>24444.444444444445</v>
      </c>
      <c r="O75" s="276">
        <f>N75+(N75*10%)</f>
        <v>26888.888888888891</v>
      </c>
      <c r="P75" s="253"/>
    </row>
    <row r="76" spans="1:16" x14ac:dyDescent="0.3">
      <c r="A76" s="253"/>
      <c r="B76" s="253"/>
      <c r="C76" s="253"/>
      <c r="D76" s="333" t="s">
        <v>10</v>
      </c>
      <c r="E76" s="333"/>
      <c r="F76" s="436"/>
      <c r="G76" s="333"/>
      <c r="H76" s="334"/>
      <c r="I76" s="335">
        <f>I75</f>
        <v>1200000</v>
      </c>
      <c r="J76" s="335">
        <f t="shared" ref="J76:K76" si="19">J75</f>
        <v>22727.272727272728</v>
      </c>
      <c r="K76" s="335">
        <f t="shared" si="19"/>
        <v>1200000</v>
      </c>
      <c r="L76" s="335">
        <f t="shared" si="18"/>
        <v>22222.222222222223</v>
      </c>
      <c r="M76" s="442">
        <f>M75</f>
        <v>22222.222222222223</v>
      </c>
      <c r="N76" s="442">
        <f>N75</f>
        <v>24444.444444444445</v>
      </c>
      <c r="O76" s="442">
        <f>O75</f>
        <v>26888.888888888891</v>
      </c>
      <c r="P76" s="276">
        <f>M76+N76+O76</f>
        <v>73555.555555555562</v>
      </c>
    </row>
    <row r="77" spans="1:16" x14ac:dyDescent="0.3">
      <c r="A77" s="336"/>
      <c r="B77" s="336"/>
      <c r="C77" s="336"/>
      <c r="D77" s="336"/>
      <c r="E77" s="336"/>
      <c r="F77" s="437"/>
      <c r="G77" s="336"/>
      <c r="H77" s="337"/>
      <c r="I77" s="338"/>
      <c r="J77" s="336"/>
      <c r="K77" s="336"/>
      <c r="L77" s="336"/>
      <c r="M77" s="274"/>
      <c r="N77" s="253"/>
      <c r="O77" s="253"/>
      <c r="P77" s="253"/>
    </row>
    <row r="78" spans="1:16" x14ac:dyDescent="0.3">
      <c r="A78" s="761" t="s">
        <v>91</v>
      </c>
      <c r="B78" s="761"/>
      <c r="C78" s="761"/>
      <c r="D78" s="761"/>
      <c r="E78" s="340"/>
      <c r="F78" s="439"/>
      <c r="G78" s="340"/>
      <c r="H78" s="341"/>
      <c r="I78" s="340"/>
      <c r="J78" s="340"/>
      <c r="K78" s="340"/>
      <c r="L78" s="340"/>
      <c r="M78" s="274"/>
      <c r="N78" s="253"/>
      <c r="O78" s="253"/>
      <c r="P78" s="253"/>
    </row>
    <row r="79" spans="1:16" x14ac:dyDescent="0.3">
      <c r="A79" s="253"/>
      <c r="B79" s="253" t="s">
        <v>92</v>
      </c>
      <c r="C79" s="253" t="s">
        <v>442</v>
      </c>
      <c r="D79" s="253"/>
      <c r="E79" s="253">
        <v>1</v>
      </c>
      <c r="F79" s="435">
        <v>200000</v>
      </c>
      <c r="G79" s="253">
        <v>1</v>
      </c>
      <c r="H79" s="271">
        <v>1</v>
      </c>
      <c r="I79" s="276">
        <f>E79*F79*G79*H79</f>
        <v>200000</v>
      </c>
      <c r="J79" s="332">
        <f>I79/52.8</f>
        <v>3787.878787878788</v>
      </c>
      <c r="K79" s="332">
        <f>E79*F79*G79*H79</f>
        <v>200000</v>
      </c>
      <c r="L79" s="350">
        <f>K79/54</f>
        <v>3703.7037037037039</v>
      </c>
      <c r="M79" s="274">
        <f>L79</f>
        <v>3703.7037037037039</v>
      </c>
      <c r="N79" s="253">
        <v>0</v>
      </c>
      <c r="O79" s="253">
        <v>0</v>
      </c>
      <c r="P79" s="253"/>
    </row>
    <row r="80" spans="1:16" x14ac:dyDescent="0.3">
      <c r="A80" s="253"/>
      <c r="B80" s="253" t="s">
        <v>86</v>
      </c>
      <c r="C80" s="253" t="s">
        <v>443</v>
      </c>
      <c r="D80" s="253"/>
      <c r="E80" s="253">
        <v>1</v>
      </c>
      <c r="F80" s="435">
        <v>100000</v>
      </c>
      <c r="G80" s="253">
        <v>12</v>
      </c>
      <c r="H80" s="271">
        <v>1</v>
      </c>
      <c r="I80" s="276">
        <f>E80*F80*G80*H80</f>
        <v>1200000</v>
      </c>
      <c r="J80" s="332">
        <f>I80/52.8</f>
        <v>22727.272727272728</v>
      </c>
      <c r="K80" s="332">
        <f t="shared" ref="K80:K82" si="20">E80*F80*G80*H80</f>
        <v>1200000</v>
      </c>
      <c r="L80" s="350">
        <f t="shared" ref="L80:L83" si="21">K80/54</f>
        <v>22222.222222222223</v>
      </c>
      <c r="M80" s="274">
        <f t="shared" ref="M80:M85" si="22">L80</f>
        <v>22222.222222222223</v>
      </c>
      <c r="N80" s="276">
        <f>M80+(M80*10%)</f>
        <v>24444.444444444445</v>
      </c>
      <c r="O80" s="276">
        <f>N80+(10%*N80)</f>
        <v>26888.888888888891</v>
      </c>
      <c r="P80" s="253"/>
    </row>
    <row r="81" spans="1:16" x14ac:dyDescent="0.3">
      <c r="A81" s="253"/>
      <c r="B81" s="253" t="s">
        <v>95</v>
      </c>
      <c r="C81" s="253" t="s">
        <v>444</v>
      </c>
      <c r="D81" s="253"/>
      <c r="E81" s="253">
        <v>1</v>
      </c>
      <c r="F81" s="435">
        <v>100000</v>
      </c>
      <c r="G81" s="253">
        <v>1</v>
      </c>
      <c r="H81" s="271">
        <v>1</v>
      </c>
      <c r="I81" s="276">
        <f>E81*F81*G81*H81</f>
        <v>100000</v>
      </c>
      <c r="J81" s="332">
        <f>I81/52.8</f>
        <v>1893.939393939394</v>
      </c>
      <c r="K81" s="332">
        <f t="shared" si="20"/>
        <v>100000</v>
      </c>
      <c r="L81" s="350">
        <f t="shared" si="21"/>
        <v>1851.851851851852</v>
      </c>
      <c r="M81" s="274">
        <f t="shared" si="22"/>
        <v>1851.851851851852</v>
      </c>
      <c r="N81" s="253">
        <v>0</v>
      </c>
      <c r="O81" s="253">
        <v>0</v>
      </c>
      <c r="P81" s="253"/>
    </row>
    <row r="82" spans="1:16" x14ac:dyDescent="0.3">
      <c r="A82" s="253"/>
      <c r="B82" s="253" t="s">
        <v>97</v>
      </c>
      <c r="C82" s="253" t="s">
        <v>445</v>
      </c>
      <c r="D82" s="253"/>
      <c r="E82" s="253">
        <v>1</v>
      </c>
      <c r="F82" s="435">
        <v>5000</v>
      </c>
      <c r="G82" s="253">
        <v>12</v>
      </c>
      <c r="H82" s="271">
        <v>1</v>
      </c>
      <c r="I82" s="276">
        <f>E82*F82*G82*H82</f>
        <v>60000</v>
      </c>
      <c r="J82" s="332">
        <f>I82/52.8</f>
        <v>1136.3636363636365</v>
      </c>
      <c r="K82" s="332">
        <f t="shared" si="20"/>
        <v>60000</v>
      </c>
      <c r="L82" s="350">
        <f t="shared" si="21"/>
        <v>1111.1111111111111</v>
      </c>
      <c r="M82" s="274">
        <f t="shared" si="22"/>
        <v>1111.1111111111111</v>
      </c>
      <c r="N82" s="276">
        <f>M82</f>
        <v>1111.1111111111111</v>
      </c>
      <c r="O82" s="276">
        <f>N82</f>
        <v>1111.1111111111111</v>
      </c>
      <c r="P82" s="253"/>
    </row>
    <row r="83" spans="1:16" x14ac:dyDescent="0.3">
      <c r="A83" s="253"/>
      <c r="B83" s="253"/>
      <c r="C83" s="253"/>
      <c r="D83" s="333" t="s">
        <v>10</v>
      </c>
      <c r="E83" s="333"/>
      <c r="F83" s="436"/>
      <c r="G83" s="333"/>
      <c r="H83" s="334"/>
      <c r="I83" s="335" t="e">
        <f>I79+I80+I81+I82+#REF!</f>
        <v>#REF!</v>
      </c>
      <c r="J83" s="335" t="e">
        <f>J78+J80+J81+J82+#REF!</f>
        <v>#REF!</v>
      </c>
      <c r="K83" s="335">
        <f>K79+K80+K81+K82</f>
        <v>1560000</v>
      </c>
      <c r="L83" s="335">
        <f t="shared" si="21"/>
        <v>28888.888888888891</v>
      </c>
      <c r="M83" s="283">
        <f t="shared" si="22"/>
        <v>28888.888888888891</v>
      </c>
      <c r="N83" s="283">
        <f>N79+N80+N81+N82</f>
        <v>25555.555555555555</v>
      </c>
      <c r="O83" s="283">
        <f>O79+O80+O81+O82</f>
        <v>28000</v>
      </c>
      <c r="P83" s="276">
        <f>M83+N83+O83</f>
        <v>82444.444444444438</v>
      </c>
    </row>
    <row r="84" spans="1:16" x14ac:dyDescent="0.3">
      <c r="A84" s="253"/>
      <c r="B84" s="253"/>
      <c r="C84" s="253"/>
      <c r="D84" s="253"/>
      <c r="E84" s="253"/>
      <c r="F84" s="253"/>
      <c r="G84" s="253"/>
      <c r="H84" s="271"/>
      <c r="I84" s="253"/>
      <c r="J84" s="253"/>
      <c r="K84" s="253"/>
      <c r="L84" s="253"/>
      <c r="M84" s="274">
        <f t="shared" si="22"/>
        <v>0</v>
      </c>
      <c r="N84" s="253"/>
      <c r="O84" s="253"/>
      <c r="P84" s="253"/>
    </row>
    <row r="85" spans="1:16" x14ac:dyDescent="0.3">
      <c r="A85" s="253"/>
      <c r="B85" s="253"/>
      <c r="C85" s="253"/>
      <c r="D85" s="343" t="s">
        <v>19</v>
      </c>
      <c r="E85" s="343"/>
      <c r="F85" s="343"/>
      <c r="G85" s="343"/>
      <c r="H85" s="344"/>
      <c r="I85" s="343"/>
      <c r="J85" s="343"/>
      <c r="K85" s="345">
        <f>K76+K83</f>
        <v>2760000</v>
      </c>
      <c r="L85" s="345">
        <f>L76+L83</f>
        <v>51111.111111111109</v>
      </c>
      <c r="M85" s="283">
        <f t="shared" si="22"/>
        <v>51111.111111111109</v>
      </c>
      <c r="N85" s="283">
        <f>N76+N83</f>
        <v>50000</v>
      </c>
      <c r="O85" s="283">
        <f>O76+O83</f>
        <v>54888.888888888891</v>
      </c>
      <c r="P85" s="276">
        <f>M85+N85+O85</f>
        <v>156000</v>
      </c>
    </row>
  </sheetData>
  <mergeCells count="28">
    <mergeCell ref="A78:D78"/>
    <mergeCell ref="U24:X24"/>
    <mergeCell ref="B32:I32"/>
    <mergeCell ref="B49:J49"/>
    <mergeCell ref="K43:N43"/>
    <mergeCell ref="P24:S24"/>
    <mergeCell ref="A50:J50"/>
    <mergeCell ref="A52:D52"/>
    <mergeCell ref="A61:D61"/>
    <mergeCell ref="A71:O71"/>
    <mergeCell ref="A73:D73"/>
    <mergeCell ref="C19:I19"/>
    <mergeCell ref="C20:I20"/>
    <mergeCell ref="C21:I21"/>
    <mergeCell ref="B24:I24"/>
    <mergeCell ref="K24:N24"/>
    <mergeCell ref="C18:I18"/>
    <mergeCell ref="B7:I7"/>
    <mergeCell ref="K8:N8"/>
    <mergeCell ref="P8:S8"/>
    <mergeCell ref="U8:X8"/>
    <mergeCell ref="C10:I10"/>
    <mergeCell ref="C11:I11"/>
    <mergeCell ref="C12:I12"/>
    <mergeCell ref="C13:I13"/>
    <mergeCell ref="C14:I14"/>
    <mergeCell ref="C16:I16"/>
    <mergeCell ref="C17:I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Annual Disbursement Figures</vt:lpstr>
      <vt:lpstr>Consolidated Budget</vt:lpstr>
      <vt:lpstr>UNDP </vt:lpstr>
      <vt:lpstr>1.1</vt:lpstr>
      <vt:lpstr>2.1</vt:lpstr>
      <vt:lpstr>2.2</vt:lpstr>
      <vt:lpstr>3.5</vt:lpstr>
      <vt:lpstr>4.2</vt:lpstr>
      <vt:lpstr>4.3</vt:lpstr>
      <vt:lpstr>Secretarial Support</vt:lpstr>
      <vt:lpstr>UNICEF</vt:lpstr>
      <vt:lpstr>1.2</vt:lpstr>
      <vt:lpstr>1.3</vt:lpstr>
      <vt:lpstr>1.4</vt:lpstr>
      <vt:lpstr>1.5</vt:lpstr>
      <vt:lpstr>3.1</vt:lpstr>
      <vt:lpstr>3.2</vt:lpstr>
      <vt:lpstr>3.3</vt:lpstr>
      <vt:lpstr>3.4</vt:lpstr>
      <vt:lpstr>TA</vt:lpstr>
      <vt:lpstr>WHO</vt:lpstr>
      <vt:lpstr>4.1</vt:lpstr>
      <vt:lpstr>5</vt:lpstr>
      <vt:lpstr>5.2</vt:lpstr>
      <vt:lpstr>5.3</vt:lpstr>
      <vt:lpstr>5.4</vt:lpstr>
      <vt:lpstr>5.5</vt:lpstr>
      <vt:lpstr>'1.3'!Print_Area</vt:lpstr>
      <vt:lpstr>'1.4'!Print_Area</vt:lpstr>
      <vt:lpstr>'UNDP '!Print_Area</vt:lpstr>
      <vt:lpstr>UNICEF!Print_Area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2013-09-03T06:20:36Z</dcterms:modified>
</cp:coreProperties>
</file>