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2000-2017 Cash Receipts" sheetId="1" r:id="rId1"/>
  </sheets>
  <definedNames>
    <definedName name="_xlnm.Print_Area" localSheetId="0">'2000-2017 Cash Receipts'!$A$1:$T$74</definedName>
  </definedNames>
  <calcPr fullCalcOnLoad="1"/>
</workbook>
</file>

<file path=xl/sharedStrings.xml><?xml version="1.0" encoding="utf-8"?>
<sst xmlns="http://schemas.openxmlformats.org/spreadsheetml/2006/main" count="62" uniqueCount="53">
  <si>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</si>
  <si>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</si>
  <si>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</si>
  <si>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</si>
  <si>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</si>
  <si>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</si>
  <si>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</si>
  <si>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</si>
  <si>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</si>
  <si>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</si>
  <si>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</si>
  <si>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</si>
  <si>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</si>
  <si>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</si>
  <si>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</si>
  <si>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</si>
  <si>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</si>
  <si>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</si>
  <si>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</si>
  <si>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</si>
  <si>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</si>
  <si>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</si>
  <si>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</si>
  <si>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</si>
  <si>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</si>
  <si>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</si>
  <si>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</si>
  <si>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</si>
  <si>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</si>
  <si>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</si>
  <si>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</si>
  <si>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</si>
  <si>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t>Oman</t>
  </si>
  <si>
    <t>Alwaleed Philanthropies</t>
  </si>
  <si>
    <t>China</t>
  </si>
  <si>
    <t>France</t>
  </si>
  <si>
    <t>Qatar</t>
  </si>
  <si>
    <t>IFPW</t>
  </si>
  <si>
    <t>Italy</t>
  </si>
  <si>
    <t>Saudi Arabia</t>
  </si>
  <si>
    <t>Switzerland</t>
  </si>
  <si>
    <r>
      <t>Unilever</t>
    </r>
    <r>
      <rPr>
        <vertAlign val="superscript"/>
        <sz val="10"/>
        <rFont val="Arial"/>
        <family val="2"/>
      </rPr>
      <t>1</t>
    </r>
  </si>
  <si>
    <t>1 - Unilever provides resources to Gavi on a leveraged partnership project</t>
  </si>
  <si>
    <r>
      <t>Other private</t>
    </r>
    <r>
      <rPr>
        <vertAlign val="superscript"/>
        <sz val="10"/>
        <rFont val="Arial"/>
        <family val="2"/>
      </rPr>
      <t>2</t>
    </r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</si>
  <si>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</si>
  <si>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</si>
  <si>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4 - AMC Proceeds: cash transfers from the World Bank to Gavi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</si>
  <si>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received via the GAVI Campaign). </t>
  </si>
  <si>
    <t>Monaco</t>
  </si>
  <si>
    <t>3 - IFFIm Proceeds:  cash disbursements from the World Bank: to the GFA (2006-2012), to Gavi (2013-2017)</t>
  </si>
  <si>
    <t>Proceeds, as of 30 June 2017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</si>
  <si>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2013-2018)</t>
    </r>
  </si>
  <si>
    <t>Red Nose Day Fund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</si>
</sst>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5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5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5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164" fontId="6" fillId="34" borderId="13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33" borderId="15" xfId="42" applyNumberFormat="1" applyFont="1" applyFill="1" applyBorder="1" applyAlignment="1">
      <alignment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5" applyNumberFormat="1" applyFont="1" applyFill="1" applyBorder="1" applyAlignment="1">
      <alignment horizontal="right" vertical="center"/>
    </xf>
    <xf numFmtId="164" fontId="5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33" borderId="13" xfId="42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showGridLines="0" tabSelected="1" zoomScale="90" zoomScaleNormal="90" zoomScaleSheetLayoutView="110" zoomScalePageLayoutView="0" workbookViewId="0" topLeftCell="A1">
      <selection activeCell="A1" sqref="A1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0" width="11.28125" style="0" customWidth="1"/>
    <col min="21" max="21" width="5.00390625" style="0" customWidth="1"/>
    <col min="22" max="22" width="10.28125" style="0" customWidth="1"/>
    <col min="23" max="23" width="12.7109375" style="0" bestFit="1" customWidth="1"/>
    <col min="24" max="24" width="10.28125" style="0" customWidth="1"/>
    <col min="25" max="25" width="15.57421875" style="0" bestFit="1" customWidth="1"/>
    <col min="26" max="26" width="13.28125" style="0" bestFit="1" customWidth="1"/>
    <col min="27" max="27" width="12.7109375" style="0" bestFit="1" customWidth="1"/>
  </cols>
  <sheetData>
    <row r="1" ht="70.5" customHeight="1"/>
    <row r="2" spans="1:19" ht="23.25" customHeight="1">
      <c r="A2" s="70" t="s">
        <v>30</v>
      </c>
      <c r="M2" s="1"/>
      <c r="N2" s="1"/>
      <c r="O2" s="1"/>
      <c r="P2" s="1"/>
      <c r="Q2" s="1"/>
      <c r="R2" s="1"/>
      <c r="S2" s="1"/>
    </row>
    <row r="3" spans="1:19" ht="15.75">
      <c r="A3" s="2" t="s">
        <v>50</v>
      </c>
      <c r="M3" s="1"/>
      <c r="N3" s="1"/>
      <c r="O3" s="1"/>
      <c r="P3" s="1"/>
      <c r="Q3" s="1"/>
      <c r="R3" s="1"/>
      <c r="S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ht="16.5" thickBot="1">
      <c r="A5" s="86"/>
      <c r="B5" s="4"/>
      <c r="C5" s="4"/>
      <c r="D5" s="4"/>
      <c r="E5" s="4"/>
      <c r="F5" s="4"/>
      <c r="G5" s="4"/>
      <c r="H5" s="4"/>
      <c r="I5" s="4"/>
    </row>
    <row r="6" spans="1:20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9" t="s">
        <v>0</v>
      </c>
    </row>
    <row r="7" spans="1:21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v>1.852</v>
      </c>
      <c r="T7" s="81">
        <f>SUM(B7:S7)</f>
        <v>310.258625</v>
      </c>
      <c r="U7" s="67"/>
    </row>
    <row r="8" spans="1:21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v>77.10330716</v>
      </c>
      <c r="S8" s="21">
        <v>76.26582082</v>
      </c>
      <c r="T8" s="81">
        <f aca="true" t="shared" si="0" ref="T8:T30">SUM(B8:S8)</f>
        <v>424.65679047</v>
      </c>
      <c r="U8" s="67"/>
    </row>
    <row r="9" spans="1:21" ht="13.5" thickBot="1">
      <c r="A9" s="76" t="s">
        <v>34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21"/>
      <c r="T9" s="81">
        <f t="shared" si="0"/>
        <v>2</v>
      </c>
      <c r="U9" s="67"/>
    </row>
    <row r="10" spans="1:21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21"/>
      <c r="T10" s="81">
        <f t="shared" si="0"/>
        <v>45.70576185</v>
      </c>
      <c r="U10" s="67"/>
    </row>
    <row r="11" spans="1:21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14.40126</v>
      </c>
      <c r="S11" s="21">
        <v>7.81389</v>
      </c>
      <c r="T11" s="81">
        <f t="shared" si="0"/>
        <v>114.90144652</v>
      </c>
      <c r="U11" s="67"/>
    </row>
    <row r="12" spans="1:21" ht="13.5" thickBot="1">
      <c r="A12" s="76" t="s">
        <v>35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v>134.53778</v>
      </c>
      <c r="S12" s="21"/>
      <c r="T12" s="81">
        <f t="shared" si="0"/>
        <v>255.43534391999998</v>
      </c>
      <c r="U12" s="67"/>
    </row>
    <row r="13" spans="1:21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v>115.24406384</v>
      </c>
      <c r="S13" s="21">
        <f>6.73968835+4.13493716+21.6599+11.2108</f>
        <v>43.74532551</v>
      </c>
      <c r="T13" s="81">
        <f t="shared" si="0"/>
        <v>383.26451626</v>
      </c>
      <c r="U13" s="67"/>
    </row>
    <row r="14" spans="1:21" ht="13.5" thickBot="1">
      <c r="A14" s="69" t="s">
        <v>29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>
        <v>1</v>
      </c>
      <c r="S14" s="21"/>
      <c r="T14" s="81">
        <f t="shared" si="0"/>
        <v>4</v>
      </c>
      <c r="U14" s="67"/>
    </row>
    <row r="15" spans="1:21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>
        <v>3.20139</v>
      </c>
      <c r="S15" s="21"/>
      <c r="T15" s="81">
        <f t="shared" si="0"/>
        <v>48.460358</v>
      </c>
      <c r="U15" s="67"/>
    </row>
    <row r="16" spans="1:21" ht="13.5" thickBot="1">
      <c r="A16" s="76" t="s">
        <v>38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/>
      <c r="N16" s="21"/>
      <c r="O16" s="21"/>
      <c r="P16" s="21"/>
      <c r="Q16" s="21"/>
      <c r="R16" s="21">
        <v>4.2532</v>
      </c>
      <c r="S16" s="21"/>
      <c r="T16" s="81">
        <f t="shared" si="0"/>
        <v>4.2532</v>
      </c>
      <c r="U16" s="67"/>
    </row>
    <row r="17" spans="1:21" ht="13.5" thickBot="1">
      <c r="A17" s="17" t="s">
        <v>7</v>
      </c>
      <c r="B17" s="11"/>
      <c r="C17" s="11"/>
      <c r="D17" s="22"/>
      <c r="E17" s="22"/>
      <c r="F17" s="22"/>
      <c r="G17" s="23"/>
      <c r="H17" s="19"/>
      <c r="I17" s="27"/>
      <c r="J17" s="20"/>
      <c r="K17" s="19"/>
      <c r="L17" s="19"/>
      <c r="M17" s="19">
        <v>9.348</v>
      </c>
      <c r="N17" s="21">
        <v>9.067392</v>
      </c>
      <c r="O17" s="21">
        <v>9.067392</v>
      </c>
      <c r="P17" s="21">
        <v>8.684463</v>
      </c>
      <c r="Q17" s="21">
        <v>17.368928</v>
      </c>
      <c r="R17" s="21">
        <v>18.759418</v>
      </c>
      <c r="S17" s="21">
        <f>0.166666+19</f>
        <v>19.166666</v>
      </c>
      <c r="T17" s="81">
        <f t="shared" si="0"/>
        <v>91.46225899999999</v>
      </c>
      <c r="U17" s="67"/>
    </row>
    <row r="18" spans="1:21" ht="13.5" thickBot="1">
      <c r="A18" s="17" t="s">
        <v>8</v>
      </c>
      <c r="B18" s="11"/>
      <c r="C18" s="11"/>
      <c r="D18" s="22"/>
      <c r="E18" s="22"/>
      <c r="F18" s="28"/>
      <c r="G18" s="29">
        <v>0.64515</v>
      </c>
      <c r="H18" s="19">
        <v>1.318775</v>
      </c>
      <c r="I18" s="27">
        <v>0.81184</v>
      </c>
      <c r="J18" s="20">
        <v>1.4229</v>
      </c>
      <c r="K18" s="19">
        <v>1.19124</v>
      </c>
      <c r="L18" s="19">
        <v>1.10044</v>
      </c>
      <c r="M18" s="19">
        <v>1.186</v>
      </c>
      <c r="N18" s="21">
        <v>1.0752701</v>
      </c>
      <c r="O18" s="21">
        <v>1.0590259</v>
      </c>
      <c r="P18" s="21">
        <v>1.120594</v>
      </c>
      <c r="Q18" s="21">
        <v>0.92074766</v>
      </c>
      <c r="R18" s="21">
        <v>0.89615857</v>
      </c>
      <c r="S18" s="21">
        <v>0.863788</v>
      </c>
      <c r="T18" s="81">
        <f t="shared" si="0"/>
        <v>13.611929230000001</v>
      </c>
      <c r="U18" s="67"/>
    </row>
    <row r="19" spans="1:21" ht="13.5" thickBot="1">
      <c r="A19" s="76" t="s">
        <v>48</v>
      </c>
      <c r="B19" s="11"/>
      <c r="C19" s="11"/>
      <c r="D19" s="22"/>
      <c r="E19" s="22"/>
      <c r="F19" s="28"/>
      <c r="G19" s="29"/>
      <c r="H19" s="19"/>
      <c r="I19" s="27"/>
      <c r="J19" s="20"/>
      <c r="K19" s="19"/>
      <c r="L19" s="19"/>
      <c r="M19" s="19"/>
      <c r="N19" s="21"/>
      <c r="O19" s="21"/>
      <c r="P19" s="21"/>
      <c r="Q19" s="21"/>
      <c r="R19" s="21"/>
      <c r="S19" s="21">
        <v>0.107821</v>
      </c>
      <c r="T19" s="81">
        <f t="shared" si="0"/>
        <v>0.107821</v>
      </c>
      <c r="U19" s="67"/>
    </row>
    <row r="20" spans="1:21" ht="13.5" thickBot="1">
      <c r="A20" s="17" t="s">
        <v>9</v>
      </c>
      <c r="B20" s="11"/>
      <c r="C20" s="11">
        <v>24.06033462</v>
      </c>
      <c r="D20" s="11">
        <v>13.37517187</v>
      </c>
      <c r="E20" s="11">
        <v>16.49264195</v>
      </c>
      <c r="F20" s="22">
        <v>17.32986645</v>
      </c>
      <c r="G20" s="23">
        <v>15.85941435</v>
      </c>
      <c r="H20" s="19"/>
      <c r="I20" s="27">
        <v>33.547469</v>
      </c>
      <c r="J20" s="20">
        <v>38.885301</v>
      </c>
      <c r="K20" s="19">
        <v>31.20579</v>
      </c>
      <c r="L20" s="19">
        <v>25.1113845</v>
      </c>
      <c r="M20" s="19">
        <v>26.3</v>
      </c>
      <c r="N20" s="21">
        <v>14.2065</v>
      </c>
      <c r="O20" s="21">
        <v>34.4275</v>
      </c>
      <c r="P20" s="21">
        <v>39.8048</v>
      </c>
      <c r="Q20" s="21">
        <v>33.9456</v>
      </c>
      <c r="R20" s="21">
        <v>38.309967</v>
      </c>
      <c r="S20" s="21"/>
      <c r="T20" s="81">
        <f t="shared" si="0"/>
        <v>402.8617407400001</v>
      </c>
      <c r="U20" s="67"/>
    </row>
    <row r="21" spans="1:21" ht="13.5" thickBot="1">
      <c r="A21" s="17" t="s">
        <v>10</v>
      </c>
      <c r="B21" s="11"/>
      <c r="C21" s="22">
        <v>17.89468975</v>
      </c>
      <c r="D21" s="22">
        <v>21.32565609</v>
      </c>
      <c r="E21" s="22">
        <v>21.79108674</v>
      </c>
      <c r="F21" s="22">
        <v>40.92459264</v>
      </c>
      <c r="G21" s="23">
        <v>39.53459411</v>
      </c>
      <c r="H21" s="19">
        <v>67.37931370000001</v>
      </c>
      <c r="I21" s="30">
        <v>86.156761</v>
      </c>
      <c r="J21" s="20">
        <v>65.44948326</v>
      </c>
      <c r="K21" s="19">
        <v>82.80032471</v>
      </c>
      <c r="L21" s="19">
        <v>76.483608</v>
      </c>
      <c r="M21" s="19">
        <v>79.2</v>
      </c>
      <c r="N21" s="21">
        <v>106.8762334</v>
      </c>
      <c r="O21" s="21">
        <v>126.86237634</v>
      </c>
      <c r="P21" s="21">
        <f>119.73607283+27.869</f>
        <v>147.60507282999998</v>
      </c>
      <c r="Q21" s="21">
        <v>157.465685</v>
      </c>
      <c r="R21" s="21">
        <v>139.667538</v>
      </c>
      <c r="S21" s="21">
        <v>133.06601234</v>
      </c>
      <c r="T21" s="81">
        <f t="shared" si="0"/>
        <v>1410.4830279100001</v>
      </c>
      <c r="U21" s="67"/>
    </row>
    <row r="22" spans="1:21" ht="13.5" thickBot="1">
      <c r="A22" s="76" t="s">
        <v>32</v>
      </c>
      <c r="B22" s="11"/>
      <c r="C22" s="22"/>
      <c r="D22" s="22"/>
      <c r="E22" s="22"/>
      <c r="F22" s="22"/>
      <c r="G22" s="23"/>
      <c r="H22" s="19"/>
      <c r="I22" s="30"/>
      <c r="J22" s="20"/>
      <c r="K22" s="19"/>
      <c r="L22" s="19"/>
      <c r="M22" s="19"/>
      <c r="N22" s="21"/>
      <c r="O22" s="21"/>
      <c r="P22" s="21"/>
      <c r="Q22" s="21">
        <v>0.6</v>
      </c>
      <c r="R22" s="21"/>
      <c r="S22" s="21">
        <v>0.6</v>
      </c>
      <c r="T22" s="81">
        <f t="shared" si="0"/>
        <v>1.2</v>
      </c>
      <c r="U22" s="67"/>
    </row>
    <row r="23" spans="1:21" ht="13.5" thickBot="1">
      <c r="A23" s="76" t="s">
        <v>36</v>
      </c>
      <c r="B23" s="11"/>
      <c r="C23" s="22"/>
      <c r="D23" s="22"/>
      <c r="E23" s="22"/>
      <c r="F23" s="22"/>
      <c r="G23" s="23"/>
      <c r="H23" s="19"/>
      <c r="I23" s="30"/>
      <c r="J23" s="20"/>
      <c r="K23" s="19"/>
      <c r="L23" s="19"/>
      <c r="M23" s="19"/>
      <c r="N23" s="21"/>
      <c r="O23" s="21"/>
      <c r="P23" s="21"/>
      <c r="Q23" s="21"/>
      <c r="R23" s="21">
        <v>2</v>
      </c>
      <c r="S23" s="21">
        <v>2</v>
      </c>
      <c r="T23" s="81">
        <f t="shared" si="0"/>
        <v>4</v>
      </c>
      <c r="U23" s="67"/>
    </row>
    <row r="24" spans="1:21" ht="13.5" thickBot="1">
      <c r="A24" s="26" t="s">
        <v>11</v>
      </c>
      <c r="B24" s="11"/>
      <c r="C24" s="22"/>
      <c r="D24" s="22"/>
      <c r="E24" s="22"/>
      <c r="F24" s="22"/>
      <c r="G24" s="23"/>
      <c r="H24" s="19"/>
      <c r="I24" s="19"/>
      <c r="J24" s="20"/>
      <c r="K24" s="19"/>
      <c r="L24" s="19">
        <v>0.4</v>
      </c>
      <c r="M24" s="19">
        <v>0.3</v>
      </c>
      <c r="N24" s="21">
        <v>0.3</v>
      </c>
      <c r="O24" s="21">
        <v>1</v>
      </c>
      <c r="P24" s="21">
        <v>1</v>
      </c>
      <c r="Q24" s="21">
        <v>4</v>
      </c>
      <c r="R24" s="21">
        <v>4</v>
      </c>
      <c r="S24" s="21"/>
      <c r="T24" s="81">
        <f t="shared" si="0"/>
        <v>11</v>
      </c>
      <c r="U24" s="67"/>
    </row>
    <row r="25" spans="1:21" ht="13.5" thickBot="1">
      <c r="A25" s="69" t="s">
        <v>39</v>
      </c>
      <c r="B25" s="11"/>
      <c r="C25" s="22"/>
      <c r="D25" s="22"/>
      <c r="E25" s="22"/>
      <c r="F25" s="22"/>
      <c r="G25" s="23"/>
      <c r="H25" s="19"/>
      <c r="I25" s="19"/>
      <c r="J25" s="20"/>
      <c r="K25" s="19"/>
      <c r="L25" s="19"/>
      <c r="M25" s="19"/>
      <c r="N25" s="21"/>
      <c r="O25" s="21"/>
      <c r="P25" s="21"/>
      <c r="Q25" s="21"/>
      <c r="R25" s="21">
        <v>2.5</v>
      </c>
      <c r="S25" s="21"/>
      <c r="T25" s="81">
        <f t="shared" si="0"/>
        <v>2.5</v>
      </c>
      <c r="U25" s="67"/>
    </row>
    <row r="26" spans="1:21" ht="13.5" thickBot="1">
      <c r="A26" s="17" t="s">
        <v>12</v>
      </c>
      <c r="B26" s="11"/>
      <c r="C26" s="11"/>
      <c r="D26" s="11"/>
      <c r="E26" s="11"/>
      <c r="F26" s="11"/>
      <c r="G26" s="23"/>
      <c r="H26" s="11"/>
      <c r="I26" s="11"/>
      <c r="J26" s="20">
        <v>40.5362</v>
      </c>
      <c r="K26" s="19"/>
      <c r="L26" s="19"/>
      <c r="M26" s="19">
        <v>2.666</v>
      </c>
      <c r="N26" s="21">
        <v>0</v>
      </c>
      <c r="O26" s="21"/>
      <c r="P26" s="21"/>
      <c r="Q26" s="21"/>
      <c r="R26" s="21"/>
      <c r="S26" s="21"/>
      <c r="T26" s="81">
        <f t="shared" si="0"/>
        <v>43.2022</v>
      </c>
      <c r="U26" s="67"/>
    </row>
    <row r="27" spans="1:21" ht="13.5" thickBot="1">
      <c r="A27" s="17" t="s">
        <v>13</v>
      </c>
      <c r="B27" s="11"/>
      <c r="C27" s="22">
        <v>1.89213259</v>
      </c>
      <c r="D27" s="22">
        <v>1.11479998</v>
      </c>
      <c r="E27" s="22">
        <v>2.38518169</v>
      </c>
      <c r="F27" s="22">
        <v>4.93142988</v>
      </c>
      <c r="G27" s="23">
        <v>12.66340061</v>
      </c>
      <c r="H27" s="19">
        <v>14.59397503</v>
      </c>
      <c r="I27" s="19">
        <v>15.514976</v>
      </c>
      <c r="J27" s="20">
        <v>19.151976</v>
      </c>
      <c r="K27" s="19">
        <v>13.80099952</v>
      </c>
      <c r="L27" s="19">
        <v>36.4874975</v>
      </c>
      <c r="M27" s="19">
        <v>92.7</v>
      </c>
      <c r="N27" s="21">
        <v>0</v>
      </c>
      <c r="O27" s="21">
        <v>70.90008049</v>
      </c>
      <c r="P27" s="21">
        <v>49.84</v>
      </c>
      <c r="Q27" s="21">
        <v>41.475</v>
      </c>
      <c r="R27" s="21">
        <v>36.3912</v>
      </c>
      <c r="S27" s="21">
        <v>33.50457896</v>
      </c>
      <c r="T27" s="81">
        <f t="shared" si="0"/>
        <v>447.34722825000006</v>
      </c>
      <c r="U27" s="67"/>
    </row>
    <row r="28" spans="1:21" s="56" customFormat="1" ht="13.5" thickBot="1">
      <c r="A28" s="69" t="s">
        <v>40</v>
      </c>
      <c r="B28" s="19"/>
      <c r="C28" s="28"/>
      <c r="D28" s="28"/>
      <c r="E28" s="28"/>
      <c r="F28" s="28"/>
      <c r="G28" s="92"/>
      <c r="H28" s="19"/>
      <c r="I28" s="19"/>
      <c r="J28" s="20"/>
      <c r="K28" s="19"/>
      <c r="L28" s="19"/>
      <c r="M28" s="19"/>
      <c r="N28" s="21"/>
      <c r="O28" s="21"/>
      <c r="P28" s="21"/>
      <c r="Q28" s="21"/>
      <c r="R28" s="21">
        <v>1.5797792</v>
      </c>
      <c r="S28" s="21"/>
      <c r="T28" s="93">
        <f t="shared" si="0"/>
        <v>1.5797792</v>
      </c>
      <c r="U28" s="94"/>
    </row>
    <row r="29" spans="1:21" ht="13.5" thickBot="1">
      <c r="A29" s="17" t="s">
        <v>14</v>
      </c>
      <c r="B29" s="11">
        <v>4.4634</v>
      </c>
      <c r="C29" s="11"/>
      <c r="D29" s="22">
        <v>15.04825</v>
      </c>
      <c r="E29" s="11">
        <v>5.60595</v>
      </c>
      <c r="F29" s="22">
        <v>18.491535</v>
      </c>
      <c r="G29" s="23">
        <v>6.625149</v>
      </c>
      <c r="H29" s="19">
        <v>23.214072</v>
      </c>
      <c r="I29" s="27">
        <v>48.113952</v>
      </c>
      <c r="J29" s="20"/>
      <c r="K29" s="19"/>
      <c r="L29" s="31">
        <v>15.883044</v>
      </c>
      <c r="M29" s="31">
        <v>85.1</v>
      </c>
      <c r="N29" s="32">
        <v>206.88</v>
      </c>
      <c r="O29" s="32">
        <v>447.88005123</v>
      </c>
      <c r="P29" s="32">
        <v>302.55504</v>
      </c>
      <c r="Q29" s="32">
        <f>418.55298+23.91142691</f>
        <v>442.46440691</v>
      </c>
      <c r="R29" s="32">
        <v>304.832</v>
      </c>
      <c r="S29" s="32">
        <v>282.065</v>
      </c>
      <c r="T29" s="81">
        <f t="shared" si="0"/>
        <v>2209.22185014</v>
      </c>
      <c r="U29" s="67"/>
    </row>
    <row r="30" spans="1:21" ht="13.5" thickBot="1">
      <c r="A30" s="33" t="s">
        <v>15</v>
      </c>
      <c r="B30" s="34"/>
      <c r="C30" s="35">
        <v>48.092</v>
      </c>
      <c r="D30" s="35">
        <v>53</v>
      </c>
      <c r="E30" s="35">
        <v>58</v>
      </c>
      <c r="F30" s="35">
        <v>59.64</v>
      </c>
      <c r="G30" s="36">
        <v>64.48</v>
      </c>
      <c r="H30" s="37">
        <v>69.3</v>
      </c>
      <c r="I30" s="38">
        <v>69.3</v>
      </c>
      <c r="J30" s="39">
        <v>71.913</v>
      </c>
      <c r="K30" s="37">
        <v>75</v>
      </c>
      <c r="L30" s="37">
        <v>78</v>
      </c>
      <c r="M30" s="37">
        <v>89.8</v>
      </c>
      <c r="N30" s="40">
        <v>130</v>
      </c>
      <c r="O30" s="40">
        <v>137.978655</v>
      </c>
      <c r="P30" s="40">
        <v>175</v>
      </c>
      <c r="Q30" s="40">
        <v>200</v>
      </c>
      <c r="R30" s="40">
        <v>235</v>
      </c>
      <c r="S30" s="40"/>
      <c r="T30" s="81">
        <f t="shared" si="0"/>
        <v>1614.503655</v>
      </c>
      <c r="U30" s="67"/>
    </row>
    <row r="31" spans="1:21" ht="13.5" thickBot="1">
      <c r="A31" s="41" t="s">
        <v>16</v>
      </c>
      <c r="B31" s="42">
        <f aca="true" t="shared" si="1" ref="B31:T31">SUM(B7:B30)</f>
        <v>4.4634</v>
      </c>
      <c r="C31" s="42">
        <f t="shared" si="1"/>
        <v>93.08656439</v>
      </c>
      <c r="D31" s="42">
        <f t="shared" si="1"/>
        <v>106.25498396</v>
      </c>
      <c r="E31" s="42">
        <f t="shared" si="1"/>
        <v>110.91403173</v>
      </c>
      <c r="F31" s="42">
        <f t="shared" si="1"/>
        <v>160.39815135999999</v>
      </c>
      <c r="G31" s="42">
        <f t="shared" si="1"/>
        <v>274.92391606</v>
      </c>
      <c r="H31" s="42">
        <f t="shared" si="1"/>
        <v>216.20010949000005</v>
      </c>
      <c r="I31" s="42">
        <f t="shared" si="1"/>
        <v>282.291378</v>
      </c>
      <c r="J31" s="42">
        <f t="shared" si="1"/>
        <v>269.32929426</v>
      </c>
      <c r="K31" s="42">
        <f t="shared" si="1"/>
        <v>255.98825982</v>
      </c>
      <c r="L31" s="42">
        <f t="shared" si="1"/>
        <v>252.640024</v>
      </c>
      <c r="M31" s="42">
        <f t="shared" si="1"/>
        <v>512.891</v>
      </c>
      <c r="N31" s="42">
        <f t="shared" si="1"/>
        <v>615.20465434</v>
      </c>
      <c r="O31" s="42">
        <f t="shared" si="1"/>
        <v>994.33653315</v>
      </c>
      <c r="P31" s="42">
        <f t="shared" si="1"/>
        <v>920.8076283400001</v>
      </c>
      <c r="Q31" s="42">
        <f t="shared" si="1"/>
        <v>1001.98051419</v>
      </c>
      <c r="R31" s="42">
        <f t="shared" si="1"/>
        <v>1173.25618677</v>
      </c>
      <c r="S31" s="42">
        <f t="shared" si="1"/>
        <v>601.0509026300001</v>
      </c>
      <c r="T31" s="42">
        <f t="shared" si="1"/>
        <v>7846.017532490001</v>
      </c>
      <c r="U31" s="25"/>
    </row>
    <row r="32" spans="1:22" s="45" customFormat="1" ht="13.5" thickBo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25"/>
      <c r="V32"/>
    </row>
    <row r="33" spans="1:22" s="45" customFormat="1" ht="13.5" thickBot="1">
      <c r="A33" s="89" t="s">
        <v>33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1"/>
      <c r="O33" s="91"/>
      <c r="P33" s="91"/>
      <c r="Q33" s="91"/>
      <c r="R33" s="91">
        <v>0.2012</v>
      </c>
      <c r="S33" s="91">
        <v>0.2012</v>
      </c>
      <c r="T33" s="46">
        <f aca="true" t="shared" si="2" ref="T33:T46">SUM(B33:S33)</f>
        <v>0.4024</v>
      </c>
      <c r="U33" s="67"/>
      <c r="V33"/>
    </row>
    <row r="34" spans="1:22" s="45" customFormat="1" ht="13.5" thickBot="1">
      <c r="A34" s="47" t="s">
        <v>17</v>
      </c>
      <c r="B34" s="71">
        <v>325</v>
      </c>
      <c r="C34" s="71">
        <v>425</v>
      </c>
      <c r="D34" s="71"/>
      <c r="E34" s="71">
        <v>3.5</v>
      </c>
      <c r="F34" s="71">
        <v>5</v>
      </c>
      <c r="G34" s="71">
        <v>154.338</v>
      </c>
      <c r="H34" s="71"/>
      <c r="I34" s="71">
        <v>75</v>
      </c>
      <c r="J34" s="71">
        <v>75</v>
      </c>
      <c r="K34" s="71">
        <v>75</v>
      </c>
      <c r="L34" s="71">
        <v>75</v>
      </c>
      <c r="M34" s="72">
        <v>264.1</v>
      </c>
      <c r="N34" s="72">
        <v>268.8</v>
      </c>
      <c r="O34" s="72">
        <v>283.1</v>
      </c>
      <c r="P34" s="72">
        <f>75+100.6+50</f>
        <v>225.6</v>
      </c>
      <c r="Q34" s="72">
        <v>245</v>
      </c>
      <c r="R34" s="83">
        <f>260+14.6048+2.8952+2.5</f>
        <v>280</v>
      </c>
      <c r="S34" s="83">
        <v>300</v>
      </c>
      <c r="T34" s="46">
        <f t="shared" si="2"/>
        <v>3079.438</v>
      </c>
      <c r="U34" s="67"/>
      <c r="V34"/>
    </row>
    <row r="35" spans="1:22" s="45" customFormat="1" ht="13.5" thickBot="1">
      <c r="A35" s="47" t="s">
        <v>18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2">
        <v>3.2</v>
      </c>
      <c r="O35" s="72">
        <v>6.85529526</v>
      </c>
      <c r="P35" s="72">
        <f>4.20525+1.5662+0.0658</f>
        <v>5.837250000000001</v>
      </c>
      <c r="Q35" s="83">
        <f>3.116+0.7803</f>
        <v>3.8963</v>
      </c>
      <c r="R35" s="83">
        <f>0.66092+1.30805+0.622055</f>
        <v>2.591025</v>
      </c>
      <c r="S35" s="83"/>
      <c r="T35" s="46">
        <f t="shared" si="2"/>
        <v>22.379870260000004</v>
      </c>
      <c r="U35" s="67"/>
      <c r="V35"/>
    </row>
    <row r="36" spans="1:22" s="45" customFormat="1" ht="26.25" customHeight="1" thickBot="1">
      <c r="A36" s="63" t="s">
        <v>27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2"/>
      <c r="O36" s="72"/>
      <c r="P36" s="72">
        <f>0.8+1.2</f>
        <v>2</v>
      </c>
      <c r="Q36" s="83"/>
      <c r="R36" s="83"/>
      <c r="S36" s="83"/>
      <c r="T36" s="46">
        <f t="shared" si="2"/>
        <v>2</v>
      </c>
      <c r="U36" s="67"/>
      <c r="V36"/>
    </row>
    <row r="37" spans="1:22" s="45" customFormat="1" ht="26.25" thickBot="1">
      <c r="A37" s="47" t="s">
        <v>19</v>
      </c>
      <c r="B37" s="71"/>
      <c r="C37" s="71"/>
      <c r="D37" s="71"/>
      <c r="E37" s="71"/>
      <c r="F37" s="71"/>
      <c r="G37" s="71"/>
      <c r="H37" s="71"/>
      <c r="I37" s="73"/>
      <c r="J37" s="72"/>
      <c r="K37" s="72"/>
      <c r="L37" s="72"/>
      <c r="M37" s="72">
        <v>14.077608</v>
      </c>
      <c r="N37" s="72">
        <v>8.8254855</v>
      </c>
      <c r="O37" s="72">
        <v>10.096907</v>
      </c>
      <c r="P37" s="72"/>
      <c r="Q37" s="83"/>
      <c r="R37" s="83"/>
      <c r="S37" s="83">
        <v>5</v>
      </c>
      <c r="T37" s="46">
        <f t="shared" si="2"/>
        <v>38.0000005</v>
      </c>
      <c r="U37" s="67"/>
      <c r="V37"/>
    </row>
    <row r="38" spans="1:22" s="45" customFormat="1" ht="13.5" thickBot="1">
      <c r="A38" s="63" t="s">
        <v>37</v>
      </c>
      <c r="B38" s="71"/>
      <c r="C38" s="71"/>
      <c r="D38" s="71"/>
      <c r="E38" s="71"/>
      <c r="F38" s="71"/>
      <c r="G38" s="71"/>
      <c r="H38" s="71"/>
      <c r="I38" s="73"/>
      <c r="J38" s="72"/>
      <c r="K38" s="72"/>
      <c r="L38" s="72"/>
      <c r="M38" s="72"/>
      <c r="N38" s="88"/>
      <c r="O38" s="72"/>
      <c r="P38" s="72"/>
      <c r="Q38" s="83"/>
      <c r="R38" s="83">
        <f>0.10916441+0.03383559</f>
        <v>0.14300000000000002</v>
      </c>
      <c r="S38" s="83">
        <f>0.075+0.143</f>
        <v>0.21799999999999997</v>
      </c>
      <c r="T38" s="46">
        <f t="shared" si="2"/>
        <v>0.361</v>
      </c>
      <c r="U38" s="67"/>
      <c r="V38"/>
    </row>
    <row r="39" spans="1:21" ht="13.5" thickBot="1">
      <c r="A39" s="17" t="s">
        <v>20</v>
      </c>
      <c r="B39" s="71"/>
      <c r="C39" s="71"/>
      <c r="D39" s="71"/>
      <c r="E39" s="71"/>
      <c r="F39" s="71"/>
      <c r="G39" s="71"/>
      <c r="H39" s="71"/>
      <c r="I39" s="73"/>
      <c r="J39" s="72">
        <v>5.8</v>
      </c>
      <c r="K39" s="72">
        <v>5.9</v>
      </c>
      <c r="L39" s="72">
        <v>4</v>
      </c>
      <c r="M39" s="74">
        <v>3.1</v>
      </c>
      <c r="N39" s="75">
        <v>2.841594</v>
      </c>
      <c r="O39" s="72">
        <v>2.02674185</v>
      </c>
      <c r="P39" s="72">
        <f>0.08282487+1.3589+0.41790755-0.05290269</f>
        <v>1.80672973</v>
      </c>
      <c r="Q39" s="83">
        <f>0.12171144+1.0905+0.10330079+0.00749712</f>
        <v>1.32300935</v>
      </c>
      <c r="R39" s="83">
        <f>0.54553356+0.02381135+1.09579371+0.52189105+0.15054668</f>
        <v>2.3375763500000004</v>
      </c>
      <c r="S39" s="83">
        <f>0.01439096+0.0742438+0.03536211</f>
        <v>0.12399687</v>
      </c>
      <c r="T39" s="46">
        <f t="shared" si="2"/>
        <v>29.25964815</v>
      </c>
      <c r="U39" s="67"/>
    </row>
    <row r="40" spans="1:21" ht="13.5" thickBot="1">
      <c r="A40" s="48" t="s">
        <v>21</v>
      </c>
      <c r="B40" s="71"/>
      <c r="C40" s="71"/>
      <c r="D40" s="71"/>
      <c r="E40" s="71"/>
      <c r="F40" s="71"/>
      <c r="G40" s="71"/>
      <c r="H40" s="71"/>
      <c r="I40" s="73"/>
      <c r="J40" s="72"/>
      <c r="K40" s="72"/>
      <c r="L40" s="72"/>
      <c r="M40" s="74"/>
      <c r="N40" s="74">
        <v>1.5</v>
      </c>
      <c r="O40" s="74">
        <v>2.5</v>
      </c>
      <c r="P40" s="74">
        <v>2</v>
      </c>
      <c r="Q40" s="84">
        <v>1</v>
      </c>
      <c r="R40" s="84">
        <v>1.2</v>
      </c>
      <c r="S40" s="84"/>
      <c r="T40" s="46">
        <f t="shared" si="2"/>
        <v>8.2</v>
      </c>
      <c r="U40" s="67"/>
    </row>
    <row r="41" spans="1:21" ht="13.5" thickBot="1">
      <c r="A41" s="68" t="s">
        <v>28</v>
      </c>
      <c r="B41" s="71"/>
      <c r="C41" s="71"/>
      <c r="D41" s="71"/>
      <c r="E41" s="71"/>
      <c r="F41" s="71"/>
      <c r="G41" s="71"/>
      <c r="H41" s="71"/>
      <c r="I41" s="73"/>
      <c r="J41" s="72"/>
      <c r="K41" s="72"/>
      <c r="L41" s="72"/>
      <c r="M41" s="74"/>
      <c r="N41" s="74"/>
      <c r="O41" s="74"/>
      <c r="P41" s="74">
        <f>2+3+2.5</f>
        <v>7.5</v>
      </c>
      <c r="Q41" s="84">
        <f>2.5+2.5+2.5</f>
        <v>7.5</v>
      </c>
      <c r="R41" s="84">
        <f>1.5+1+2.392+0.108+0.5</f>
        <v>5.499999999999999</v>
      </c>
      <c r="S41" s="84">
        <v>2</v>
      </c>
      <c r="T41" s="46">
        <f t="shared" si="2"/>
        <v>22.5</v>
      </c>
      <c r="U41" s="67"/>
    </row>
    <row r="42" spans="1:21" ht="26.25" thickBot="1">
      <c r="A42" s="49" t="s">
        <v>22</v>
      </c>
      <c r="B42" s="71"/>
      <c r="C42" s="71"/>
      <c r="D42" s="71"/>
      <c r="E42" s="71"/>
      <c r="F42" s="71"/>
      <c r="G42" s="71"/>
      <c r="H42" s="71"/>
      <c r="I42" s="73"/>
      <c r="J42" s="72"/>
      <c r="K42" s="72"/>
      <c r="L42" s="72"/>
      <c r="M42" s="74"/>
      <c r="N42" s="74">
        <v>4.3</v>
      </c>
      <c r="O42" s="74">
        <v>2.2</v>
      </c>
      <c r="P42" s="74">
        <f>12.5+0.2754</f>
        <v>12.7754</v>
      </c>
      <c r="Q42" s="84">
        <v>12.5</v>
      </c>
      <c r="R42" s="84"/>
      <c r="S42" s="84"/>
      <c r="T42" s="46">
        <f t="shared" si="2"/>
        <v>31.775399999999998</v>
      </c>
      <c r="U42" s="67"/>
    </row>
    <row r="43" spans="1:21" ht="26.25" thickBot="1">
      <c r="A43" s="64" t="s">
        <v>26</v>
      </c>
      <c r="B43" s="71"/>
      <c r="C43" s="71"/>
      <c r="D43" s="71"/>
      <c r="E43" s="71"/>
      <c r="F43" s="71"/>
      <c r="G43" s="71"/>
      <c r="H43" s="71"/>
      <c r="I43" s="73"/>
      <c r="J43" s="72"/>
      <c r="K43" s="72"/>
      <c r="L43" s="72"/>
      <c r="M43" s="74"/>
      <c r="N43" s="74"/>
      <c r="O43" s="74">
        <v>0.65</v>
      </c>
      <c r="P43" s="74">
        <v>0.45</v>
      </c>
      <c r="Q43" s="84"/>
      <c r="R43" s="84"/>
      <c r="S43" s="84"/>
      <c r="T43" s="46">
        <f t="shared" si="2"/>
        <v>1.1</v>
      </c>
      <c r="U43" s="67"/>
    </row>
    <row r="44" spans="1:21" ht="14.25" customHeight="1" thickBot="1">
      <c r="A44" s="64" t="s">
        <v>52</v>
      </c>
      <c r="B44" s="71"/>
      <c r="C44" s="71"/>
      <c r="D44" s="71"/>
      <c r="E44" s="71"/>
      <c r="F44" s="71"/>
      <c r="G44" s="71"/>
      <c r="H44" s="71"/>
      <c r="I44" s="73"/>
      <c r="J44" s="72"/>
      <c r="K44" s="72"/>
      <c r="L44" s="72"/>
      <c r="M44" s="74"/>
      <c r="N44" s="74"/>
      <c r="O44" s="74"/>
      <c r="P44" s="74"/>
      <c r="Q44" s="84">
        <v>1.05</v>
      </c>
      <c r="R44" s="84">
        <f>0.1+2</f>
        <v>2.1</v>
      </c>
      <c r="S44" s="84"/>
      <c r="T44" s="46">
        <f t="shared" si="2"/>
        <v>3.1500000000000004</v>
      </c>
      <c r="U44" s="67"/>
    </row>
    <row r="45" spans="1:21" ht="15" thickBot="1">
      <c r="A45" s="64" t="s">
        <v>41</v>
      </c>
      <c r="B45" s="71"/>
      <c r="C45" s="71"/>
      <c r="D45" s="71"/>
      <c r="E45" s="71"/>
      <c r="F45" s="71"/>
      <c r="G45" s="71"/>
      <c r="H45" s="71"/>
      <c r="I45" s="73"/>
      <c r="J45" s="72"/>
      <c r="K45" s="72"/>
      <c r="L45" s="72"/>
      <c r="M45" s="74"/>
      <c r="N45" s="74"/>
      <c r="O45" s="74"/>
      <c r="P45" s="74"/>
      <c r="Q45" s="84"/>
      <c r="R45" s="84">
        <v>1.0444</v>
      </c>
      <c r="S45" s="84"/>
      <c r="T45" s="46">
        <f t="shared" si="2"/>
        <v>1.0444</v>
      </c>
      <c r="U45" s="67"/>
    </row>
    <row r="46" spans="1:21" ht="15" thickBot="1">
      <c r="A46" s="65" t="s">
        <v>43</v>
      </c>
      <c r="B46" s="72">
        <v>0.02</v>
      </c>
      <c r="C46" s="72"/>
      <c r="D46" s="72">
        <v>1.630361</v>
      </c>
      <c r="E46" s="72">
        <v>2.580847</v>
      </c>
      <c r="F46" s="72">
        <v>1.805051</v>
      </c>
      <c r="G46" s="72">
        <v>0.47348</v>
      </c>
      <c r="H46" s="72">
        <v>1.904352</v>
      </c>
      <c r="I46" s="72">
        <v>1.1</v>
      </c>
      <c r="J46" s="72">
        <v>0.8</v>
      </c>
      <c r="K46" s="72">
        <v>1</v>
      </c>
      <c r="L46" s="72">
        <v>1</v>
      </c>
      <c r="M46" s="72">
        <v>4.188000000000001</v>
      </c>
      <c r="N46" s="72">
        <v>3.4104</v>
      </c>
      <c r="O46" s="72">
        <v>5.73635034</v>
      </c>
      <c r="P46" s="72">
        <v>2.32958709</v>
      </c>
      <c r="Q46" s="83">
        <v>0.85855387</v>
      </c>
      <c r="R46" s="83">
        <v>0.6248049</v>
      </c>
      <c r="S46" s="83">
        <v>0.000291</v>
      </c>
      <c r="T46" s="46">
        <f t="shared" si="2"/>
        <v>29.462078200000004</v>
      </c>
      <c r="U46" s="67"/>
    </row>
    <row r="47" spans="1:21" ht="13.5" thickBot="1">
      <c r="A47" s="41" t="s">
        <v>23</v>
      </c>
      <c r="B47" s="50">
        <f aca="true" t="shared" si="3" ref="B47:T47">SUM(B33:B46)</f>
        <v>325.02</v>
      </c>
      <c r="C47" s="50">
        <f t="shared" si="3"/>
        <v>425</v>
      </c>
      <c r="D47" s="50">
        <f t="shared" si="3"/>
        <v>1.630361</v>
      </c>
      <c r="E47" s="50">
        <f t="shared" si="3"/>
        <v>6.080847</v>
      </c>
      <c r="F47" s="50">
        <f t="shared" si="3"/>
        <v>6.805051</v>
      </c>
      <c r="G47" s="50">
        <f t="shared" si="3"/>
        <v>154.81148</v>
      </c>
      <c r="H47" s="50">
        <f t="shared" si="3"/>
        <v>1.904352</v>
      </c>
      <c r="I47" s="50">
        <f t="shared" si="3"/>
        <v>76.1</v>
      </c>
      <c r="J47" s="50">
        <f t="shared" si="3"/>
        <v>81.6</v>
      </c>
      <c r="K47" s="50">
        <f t="shared" si="3"/>
        <v>81.9</v>
      </c>
      <c r="L47" s="50">
        <f t="shared" si="3"/>
        <v>80</v>
      </c>
      <c r="M47" s="50">
        <f t="shared" si="3"/>
        <v>285.46560800000003</v>
      </c>
      <c r="N47" s="50">
        <f t="shared" si="3"/>
        <v>292.8774795</v>
      </c>
      <c r="O47" s="50">
        <f t="shared" si="3"/>
        <v>313.16529445</v>
      </c>
      <c r="P47" s="50">
        <f t="shared" si="3"/>
        <v>260.29896682000003</v>
      </c>
      <c r="Q47" s="50">
        <f t="shared" si="3"/>
        <v>273.12786322</v>
      </c>
      <c r="R47" s="50">
        <f t="shared" si="3"/>
        <v>295.74200625</v>
      </c>
      <c r="S47" s="50">
        <f t="shared" si="3"/>
        <v>307.54348787</v>
      </c>
      <c r="T47" s="51">
        <f t="shared" si="3"/>
        <v>3269.0727971100005</v>
      </c>
      <c r="U47" s="25"/>
    </row>
    <row r="48" spans="1:22" s="45" customFormat="1" ht="13.5" thickBot="1">
      <c r="A48" s="4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44"/>
      <c r="U48" s="25"/>
      <c r="V48"/>
    </row>
    <row r="49" spans="1:21" ht="13.5" thickBot="1">
      <c r="A49" s="53" t="s">
        <v>24</v>
      </c>
      <c r="B49" s="54">
        <f aca="true" t="shared" si="4" ref="B49:T49">B31+B47</f>
        <v>329.48339999999996</v>
      </c>
      <c r="C49" s="54">
        <f t="shared" si="4"/>
        <v>518.08656439</v>
      </c>
      <c r="D49" s="54">
        <f t="shared" si="4"/>
        <v>107.88534496</v>
      </c>
      <c r="E49" s="54">
        <f t="shared" si="4"/>
        <v>116.99487873000001</v>
      </c>
      <c r="F49" s="54">
        <f t="shared" si="4"/>
        <v>167.20320235999998</v>
      </c>
      <c r="G49" s="54">
        <f t="shared" si="4"/>
        <v>429.73539605999997</v>
      </c>
      <c r="H49" s="54">
        <f t="shared" si="4"/>
        <v>218.10446149000003</v>
      </c>
      <c r="I49" s="54">
        <f t="shared" si="4"/>
        <v>358.39137800000003</v>
      </c>
      <c r="J49" s="54">
        <f t="shared" si="4"/>
        <v>350.92929426</v>
      </c>
      <c r="K49" s="54">
        <f t="shared" si="4"/>
        <v>337.88825982000003</v>
      </c>
      <c r="L49" s="54">
        <f t="shared" si="4"/>
        <v>332.64002400000004</v>
      </c>
      <c r="M49" s="54">
        <f t="shared" si="4"/>
        <v>798.356608</v>
      </c>
      <c r="N49" s="54">
        <f t="shared" si="4"/>
        <v>908.0821338400001</v>
      </c>
      <c r="O49" s="54">
        <f t="shared" si="4"/>
        <v>1307.5018276</v>
      </c>
      <c r="P49" s="54">
        <f t="shared" si="4"/>
        <v>1181.10659516</v>
      </c>
      <c r="Q49" s="54">
        <f t="shared" si="4"/>
        <v>1275.10837741</v>
      </c>
      <c r="R49" s="54">
        <f t="shared" si="4"/>
        <v>1468.9981930200001</v>
      </c>
      <c r="S49" s="54">
        <f t="shared" si="4"/>
        <v>908.5943905000001</v>
      </c>
      <c r="T49" s="82">
        <f t="shared" si="4"/>
        <v>11115.090329600001</v>
      </c>
      <c r="U49" s="25"/>
    </row>
    <row r="50" spans="1:22" s="56" customFormat="1" ht="13.5" thickBot="1">
      <c r="A50" s="55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87"/>
      <c r="R50" s="87"/>
      <c r="S50" s="87"/>
      <c r="T50" s="52"/>
      <c r="U50" s="25"/>
      <c r="V50"/>
    </row>
    <row r="51" spans="1:21" ht="15" thickBot="1">
      <c r="A51" s="57" t="s">
        <v>44</v>
      </c>
      <c r="B51" s="42"/>
      <c r="C51" s="42"/>
      <c r="D51" s="42"/>
      <c r="E51" s="42"/>
      <c r="F51" s="42"/>
      <c r="G51" s="42"/>
      <c r="H51" s="42">
        <v>524.749285</v>
      </c>
      <c r="I51" s="42">
        <v>428.268866</v>
      </c>
      <c r="J51" s="42">
        <v>272.638133</v>
      </c>
      <c r="K51" s="42">
        <v>330.027</v>
      </c>
      <c r="L51" s="42">
        <v>320</v>
      </c>
      <c r="M51" s="42">
        <v>300</v>
      </c>
      <c r="N51" s="42">
        <v>100</v>
      </c>
      <c r="O51" s="42">
        <v>200</v>
      </c>
      <c r="P51" s="66">
        <v>0</v>
      </c>
      <c r="Q51" s="66">
        <v>0</v>
      </c>
      <c r="R51" s="66">
        <v>100</v>
      </c>
      <c r="S51" s="66">
        <v>0</v>
      </c>
      <c r="T51" s="58">
        <f>SUM(B51:S51)</f>
        <v>2575.6832839999997</v>
      </c>
      <c r="U51" s="16"/>
    </row>
    <row r="52" spans="1:21" ht="15" thickBot="1">
      <c r="A52" s="57" t="s">
        <v>45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>
        <v>42.87705</v>
      </c>
      <c r="M52" s="42">
        <f>128165700/1000000</f>
        <v>128.1657</v>
      </c>
      <c r="N52" s="42">
        <v>223.5</v>
      </c>
      <c r="O52" s="42">
        <v>214.42</v>
      </c>
      <c r="P52" s="42">
        <f>25+65+6+36.72+105</f>
        <v>237.72</v>
      </c>
      <c r="Q52" s="42">
        <f>10+100+12.96</f>
        <v>122.96000000000001</v>
      </c>
      <c r="R52" s="42">
        <f>17+73+8.5+8.64</f>
        <v>107.14</v>
      </c>
      <c r="S52" s="42">
        <v>18.21725</v>
      </c>
      <c r="T52" s="42">
        <f>SUM(B52:S52)</f>
        <v>1095</v>
      </c>
      <c r="U52" s="16"/>
    </row>
    <row r="53" spans="1:22" s="45" customFormat="1" ht="13.5" thickBot="1">
      <c r="A53" s="5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25"/>
      <c r="V53"/>
    </row>
    <row r="54" spans="1:21" ht="13.5" thickBot="1">
      <c r="A54" s="59" t="s">
        <v>25</v>
      </c>
      <c r="B54" s="60">
        <f aca="true" t="shared" si="5" ref="B54:T54">SUM(B49:B52)</f>
        <v>329.48339999999996</v>
      </c>
      <c r="C54" s="60">
        <f t="shared" si="5"/>
        <v>518.08656439</v>
      </c>
      <c r="D54" s="60">
        <f t="shared" si="5"/>
        <v>107.88534496</v>
      </c>
      <c r="E54" s="60">
        <f t="shared" si="5"/>
        <v>116.99487873000001</v>
      </c>
      <c r="F54" s="60">
        <f t="shared" si="5"/>
        <v>167.20320235999998</v>
      </c>
      <c r="G54" s="60">
        <f t="shared" si="5"/>
        <v>429.73539605999997</v>
      </c>
      <c r="H54" s="60">
        <f t="shared" si="5"/>
        <v>742.85374649</v>
      </c>
      <c r="I54" s="60">
        <f t="shared" si="5"/>
        <v>786.660244</v>
      </c>
      <c r="J54" s="60">
        <f t="shared" si="5"/>
        <v>623.5674272599999</v>
      </c>
      <c r="K54" s="60">
        <f t="shared" si="5"/>
        <v>667.9152598200001</v>
      </c>
      <c r="L54" s="60">
        <f t="shared" si="5"/>
        <v>695.5170740000001</v>
      </c>
      <c r="M54" s="60">
        <f t="shared" si="5"/>
        <v>1226.522308</v>
      </c>
      <c r="N54" s="60">
        <f t="shared" si="5"/>
        <v>1231.58213384</v>
      </c>
      <c r="O54" s="60">
        <f t="shared" si="5"/>
        <v>1721.9218276000001</v>
      </c>
      <c r="P54" s="60">
        <f t="shared" si="5"/>
        <v>1418.8265951600001</v>
      </c>
      <c r="Q54" s="60">
        <f t="shared" si="5"/>
        <v>1398.06837741</v>
      </c>
      <c r="R54" s="60">
        <f t="shared" si="5"/>
        <v>1676.1381930200002</v>
      </c>
      <c r="S54" s="60">
        <f t="shared" si="5"/>
        <v>926.8116405000002</v>
      </c>
      <c r="T54" s="60">
        <f t="shared" si="5"/>
        <v>14785.773613600002</v>
      </c>
      <c r="U54" s="25"/>
    </row>
    <row r="55" spans="2:20" ht="12.7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ht="12.75">
      <c r="A56" s="62" t="s">
        <v>42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28.5" customHeight="1">
      <c r="A57" s="95" t="s">
        <v>47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</row>
    <row r="58" spans="1:19" ht="15.75" customHeight="1">
      <c r="A58" s="62" t="s">
        <v>49</v>
      </c>
      <c r="K58" s="4"/>
      <c r="L58" s="4"/>
      <c r="M58" s="4"/>
      <c r="N58" s="4"/>
      <c r="O58" s="4"/>
      <c r="P58" s="4"/>
      <c r="Q58" s="4"/>
      <c r="R58" s="4"/>
      <c r="S58" s="4"/>
    </row>
    <row r="59" ht="15.75" customHeight="1">
      <c r="A59" s="62" t="s">
        <v>46</v>
      </c>
    </row>
    <row r="62" ht="42" customHeight="1">
      <c r="A62" s="80" t="s">
        <v>51</v>
      </c>
    </row>
    <row r="63" spans="1:19" ht="15.75">
      <c r="A63" s="2" t="s">
        <v>50</v>
      </c>
      <c r="M63" s="1"/>
      <c r="N63" s="1"/>
      <c r="O63" s="1"/>
      <c r="P63" s="1"/>
      <c r="Q63" s="1"/>
      <c r="R63" s="1"/>
      <c r="S63" s="1"/>
    </row>
    <row r="64" spans="1:9" ht="15.75">
      <c r="A64" s="3" t="s">
        <v>31</v>
      </c>
      <c r="B64" s="4"/>
      <c r="C64" s="4"/>
      <c r="D64" s="4"/>
      <c r="E64" s="4"/>
      <c r="F64" s="4"/>
      <c r="G64" s="4"/>
      <c r="H64" s="4"/>
      <c r="I64" s="4"/>
    </row>
    <row r="65" ht="13.5" thickBot="1"/>
    <row r="66" spans="1:20" ht="16.5" thickBot="1">
      <c r="A66" s="5"/>
      <c r="B66" s="6">
        <v>2000</v>
      </c>
      <c r="C66" s="6">
        <v>2001</v>
      </c>
      <c r="D66" s="6">
        <v>2002</v>
      </c>
      <c r="E66" s="6">
        <v>2003</v>
      </c>
      <c r="F66" s="6">
        <v>2004</v>
      </c>
      <c r="G66" s="7">
        <v>2005</v>
      </c>
      <c r="H66" s="8">
        <v>2006</v>
      </c>
      <c r="I66" s="7">
        <v>2007</v>
      </c>
      <c r="J66" s="8">
        <v>2008</v>
      </c>
      <c r="K66" s="7">
        <v>2009</v>
      </c>
      <c r="L66" s="7">
        <v>2010</v>
      </c>
      <c r="M66" s="7">
        <v>2011</v>
      </c>
      <c r="N66" s="7">
        <v>2012</v>
      </c>
      <c r="O66" s="7">
        <v>2013</v>
      </c>
      <c r="P66" s="7">
        <v>2014</v>
      </c>
      <c r="Q66" s="7">
        <v>2015</v>
      </c>
      <c r="R66" s="7">
        <v>2016</v>
      </c>
      <c r="S66" s="7">
        <v>2017</v>
      </c>
      <c r="T66" s="9" t="s">
        <v>0</v>
      </c>
    </row>
    <row r="67" spans="1:20" ht="13.5" thickBot="1">
      <c r="A67" s="17" t="s">
        <v>10</v>
      </c>
      <c r="B67" s="11"/>
      <c r="C67" s="22"/>
      <c r="D67" s="22"/>
      <c r="E67" s="22"/>
      <c r="F67" s="22"/>
      <c r="G67" s="23"/>
      <c r="H67" s="19"/>
      <c r="I67" s="30"/>
      <c r="J67" s="20"/>
      <c r="K67" s="19"/>
      <c r="L67" s="19"/>
      <c r="M67" s="19"/>
      <c r="N67" s="21"/>
      <c r="O67" s="21"/>
      <c r="P67" s="21">
        <v>30.742</v>
      </c>
      <c r="Q67" s="21">
        <v>24.263</v>
      </c>
      <c r="R67" s="21">
        <v>22.97689</v>
      </c>
      <c r="S67" s="21"/>
      <c r="T67" s="81">
        <f>SUM(B67:R67)</f>
        <v>77.98189</v>
      </c>
    </row>
    <row r="68" spans="1:20" ht="13.5" thickBot="1">
      <c r="A68" s="76" t="s">
        <v>14</v>
      </c>
      <c r="B68" s="11"/>
      <c r="C68" s="22"/>
      <c r="D68" s="22"/>
      <c r="E68" s="22"/>
      <c r="F68" s="22"/>
      <c r="G68" s="23"/>
      <c r="H68" s="19"/>
      <c r="I68" s="30"/>
      <c r="J68" s="20"/>
      <c r="K68" s="19"/>
      <c r="L68" s="19"/>
      <c r="M68" s="19"/>
      <c r="N68" s="21"/>
      <c r="O68" s="21"/>
      <c r="P68" s="21"/>
      <c r="Q68" s="21">
        <v>4.7322</v>
      </c>
      <c r="R68" s="21">
        <v>18.60054</v>
      </c>
      <c r="S68" s="21">
        <v>11.45331</v>
      </c>
      <c r="T68" s="81">
        <f>SUM(B68:R68)</f>
        <v>23.332739999999998</v>
      </c>
    </row>
    <row r="69" spans="1:20" ht="13.5" thickBot="1">
      <c r="A69" s="41" t="s">
        <v>16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>
        <f>SUM(P67:P68)</f>
        <v>30.742</v>
      </c>
      <c r="Q69" s="42">
        <f>SUM(Q67:Q68)</f>
        <v>28.9952</v>
      </c>
      <c r="R69" s="42">
        <f>SUM(R67:R68)</f>
        <v>41.57743</v>
      </c>
      <c r="S69" s="42">
        <f>SUM(S67:S68)</f>
        <v>11.45331</v>
      </c>
      <c r="T69" s="42">
        <f>SUM(T67:T68)</f>
        <v>101.31463000000001</v>
      </c>
    </row>
    <row r="70" ht="13.5" thickBot="1"/>
    <row r="71" spans="1:22" s="45" customFormat="1" ht="13.5" thickBot="1">
      <c r="A71" s="77" t="s">
        <v>17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9"/>
      <c r="N71" s="79"/>
      <c r="O71" s="79"/>
      <c r="P71" s="79"/>
      <c r="Q71" s="85">
        <v>105</v>
      </c>
      <c r="R71" s="85">
        <v>51.6</v>
      </c>
      <c r="S71" s="85">
        <v>40</v>
      </c>
      <c r="T71" s="46">
        <f>SUM(B71:R71)</f>
        <v>156.6</v>
      </c>
      <c r="U71" s="67"/>
      <c r="V71"/>
    </row>
    <row r="72" spans="1:21" ht="13.5" thickBot="1">
      <c r="A72" s="41" t="s">
        <v>23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>
        <f>SUM(Q71)</f>
        <v>105</v>
      </c>
      <c r="R72" s="50">
        <f>SUM(R71)</f>
        <v>51.6</v>
      </c>
      <c r="S72" s="50">
        <f>SUM(S71)</f>
        <v>40</v>
      </c>
      <c r="T72" s="50">
        <f>SUM(T71)</f>
        <v>156.6</v>
      </c>
      <c r="U72" s="25"/>
    </row>
    <row r="73" ht="13.5" thickBot="1"/>
    <row r="74" spans="1:20" ht="13.5" thickBot="1">
      <c r="A74" s="59" t="s">
        <v>25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>
        <f>SUM(P69,P72)</f>
        <v>30.742</v>
      </c>
      <c r="Q74" s="60">
        <f>SUM(Q69,Q72)</f>
        <v>133.9952</v>
      </c>
      <c r="R74" s="60">
        <f>SUM(R69,R72)</f>
        <v>93.17743</v>
      </c>
      <c r="S74" s="60">
        <f>SUM(S69,S72)</f>
        <v>51.45331</v>
      </c>
      <c r="T74" s="60">
        <f>SUM(T69,T72)</f>
        <v>257.91463</v>
      </c>
    </row>
    <row r="78" ht="18" customHeight="1"/>
  </sheetData>
  <sheetProtection/>
  <mergeCells count="1">
    <mergeCell ref="A57:T5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69:Q69 B31:S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30 June 2017</dc:title>
  <dc:subject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subject>
  <dc:creator>Alister Bignell</dc:creator>
  <cp:keywords/>
  <dc:description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dc:description>
  <cp:lastModifiedBy>Alister Bignell</cp:lastModifiedBy>
  <cp:lastPrinted>2015-01-29T15:18:13Z</cp:lastPrinted>
  <dcterms:created xsi:type="dcterms:W3CDTF">2013-01-25T10:21:26Z</dcterms:created>
  <dcterms:modified xsi:type="dcterms:W3CDTF">2017-07-20T16:33:14Z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20f7b5d3-36f1-4e0e-b5a1-082d1c0de39d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e37ceaa0d61b4bfeb3c21883d9680a10">
    <vt:lpwstr>Finance|70c92294-fade-490c-ae2b-2f46f3fe0636</vt:lpwstr>
  </property>
  <property fmtid="{D5CDD505-2E9C-101B-9397-08002B2CF9AE}" pid="33" name="e47ceaa0d61b4bfeb3c21883d9680a10">
    <vt:lpwstr/>
  </property>
  <property fmtid="{D5CDD505-2E9C-101B-9397-08002B2CF9AE}" pid="34" name="e57ceaa0d61b4bfeb3c21883d9680a10">
    <vt:lpwstr/>
  </property>
  <property fmtid="{D5CDD505-2E9C-101B-9397-08002B2CF9AE}" pid="35" name="TaxCatchAll">
    <vt:lpwstr>169;#Finance|70c92294-fade-490c-ae2b-2f46f3fe0636</vt:lpwstr>
  </property>
  <property fmtid="{D5CDD505-2E9C-101B-9397-08002B2CF9AE}" pid="36" name="i4a50af2c0e64ae9b81ffeca8af7ed0f">
    <vt:lpwstr/>
  </property>
  <property fmtid="{D5CDD505-2E9C-101B-9397-08002B2CF9AE}" pid="37" name="e77ceaa0d61b4bfeb3c21883d9680a10">
    <vt:lpwstr/>
  </property>
  <property fmtid="{D5CDD505-2E9C-101B-9397-08002B2CF9AE}" pid="38" name="_dlc_DocId">
    <vt:lpwstr>GAVI-2091783149-187457</vt:lpwstr>
  </property>
  <property fmtid="{D5CDD505-2E9C-101B-9397-08002B2CF9AE}" pid="39" name="_dlc_DocIdUrl">
    <vt:lpwstr>https://gavinet.sharepoint.com/teams/RMP/_layouts/15/DocIdRedir.aspx?ID=GAVI-2091783149-187457, GAVI-2091783149-187457</vt:lpwstr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DownloadAsset.aspx?id=2147514644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>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46" name="EktExpiryType">
    <vt:i4>1</vt:i4>
  </property>
  <property fmtid="{D5CDD505-2E9C-101B-9397-08002B2CF9AE}" pid="47" name="EktDateCreated">
    <vt:filetime>2017-09-12T07:08:55Z</vt:filetime>
  </property>
  <property fmtid="{D5CDD505-2E9C-101B-9397-08002B2CF9AE}" pid="48" name="EktDateModified">
    <vt:filetime>2017-09-12T07:09:52Z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97280</vt:i4>
  </property>
  <property fmtid="{D5CDD505-2E9C-101B-9397-08002B2CF9AE}" pid="52" name="EktSearchable">
    <vt:i4>1</vt:i4>
  </property>
  <property fmtid="{D5CDD505-2E9C-101B-9397-08002B2CF9AE}" pid="53" name="EktEDescription">
    <vt:lpwstr>Summary &amp;lt;p&amp;gt;2000-2017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54" name="EktPublicationDate">
    <vt:filetime>2017-06-29T22:00:00Z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